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dhhsvicgovau.sharepoint.com/sites/MaternalChildHealthDataandSystems/Shared Documents/MCH_Funding/2023-24 Funding/2023-24 Funding Calculator/release version 2022-12-21/"/>
    </mc:Choice>
  </mc:AlternateContent>
  <xr:revisionPtr revIDLastSave="2617" documentId="8_{C1DD52AE-C3CF-4E15-B8EF-F786602A864A}" xr6:coauthVersionLast="47" xr6:coauthVersionMax="47" xr10:uidLastSave="{0924DCA0-CD79-437D-89DC-163CD8CEEF6F}"/>
  <bookViews>
    <workbookView xWindow="-120" yWindow="-120" windowWidth="29040" windowHeight="15840" tabRatio="737" xr2:uid="{00000000-000D-0000-FFFF-FFFF00000000}"/>
  </bookViews>
  <sheets>
    <sheet name="Index" sheetId="1" r:id="rId1"/>
    <sheet name="Inputs" sheetId="3" r:id="rId2"/>
    <sheet name="Funding Summary" sheetId="9" r:id="rId3"/>
    <sheet name="UMCH - Matched" sheetId="4" r:id="rId4"/>
    <sheet name="UMCH - RSG" sheetId="10" r:id="rId5"/>
    <sheet name="UMCH - Family Violence" sheetId="5" r:id="rId6"/>
    <sheet name="UMCH - S&amp;S Info Sessions" sheetId="13" r:id="rId7"/>
    <sheet name="UMCH - S&amp;S Outreach" sheetId="14" r:id="rId8"/>
    <sheet name="UMCH - Interface" sheetId="16" r:id="rId9"/>
    <sheet name="EMCH - Base" sheetId="6" r:id="rId10"/>
    <sheet name="EMCH - Interface" sheetId="8" r:id="rId11"/>
    <sheet name="Workforce Support" sheetId="11" r:id="rId12"/>
    <sheet name="lists" sheetId="2" state="hidden"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 l="1"/>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4" i="2"/>
  <c r="G5" i="2"/>
  <c r="G6" i="2"/>
  <c r="G7" i="2"/>
  <c r="G8" i="2"/>
  <c r="G9" i="2"/>
  <c r="G10" i="2"/>
  <c r="G11" i="2"/>
  <c r="G12" i="2"/>
  <c r="G13" i="2"/>
  <c r="G14" i="2"/>
  <c r="G15" i="2"/>
  <c r="G16" i="2"/>
  <c r="G17" i="2"/>
  <c r="G18" i="2"/>
  <c r="G19" i="2"/>
  <c r="G20" i="2"/>
  <c r="G21" i="2"/>
  <c r="G22" i="2"/>
  <c r="G23" i="2"/>
  <c r="G24" i="2"/>
  <c r="G25" i="2"/>
  <c r="G26" i="2"/>
  <c r="G27" i="2"/>
  <c r="G28" i="2"/>
  <c r="G29" i="2"/>
  <c r="G30" i="2"/>
  <c r="G3" i="2"/>
  <c r="J70" i="3"/>
  <c r="J76" i="3"/>
  <c r="J74" i="3"/>
  <c r="J72" i="3"/>
  <c r="F20" i="11"/>
  <c r="A2" i="11"/>
  <c r="A2" i="8"/>
  <c r="H39" i="8"/>
  <c r="A2" i="6"/>
  <c r="J64" i="6"/>
  <c r="A2" i="16"/>
  <c r="H92" i="3" l="1"/>
  <c r="J18" i="16"/>
  <c r="I34" i="14" l="1"/>
  <c r="A2" i="14"/>
  <c r="A2" i="13"/>
  <c r="K33" i="5"/>
  <c r="J33" i="13"/>
  <c r="A2" i="5"/>
  <c r="A2" i="10"/>
  <c r="E16" i="10" s="1"/>
  <c r="A2" i="4"/>
  <c r="B3" i="9"/>
  <c r="E28" i="10"/>
  <c r="J71" i="4"/>
  <c r="H26" i="8"/>
  <c r="J60" i="3"/>
  <c r="H82" i="3"/>
  <c r="J82" i="3" s="1"/>
  <c r="H87" i="3"/>
  <c r="J87" i="3" s="1"/>
  <c r="J92" i="3"/>
  <c r="H72" i="3"/>
  <c r="H74" i="3"/>
  <c r="H76" i="3"/>
  <c r="H78" i="3"/>
  <c r="J78" i="3" s="1"/>
  <c r="H68" i="3"/>
  <c r="J68" i="3" s="1"/>
  <c r="F94" i="3"/>
  <c r="H94" i="3" s="1"/>
  <c r="J94" i="3" s="1"/>
  <c r="F13" i="8" s="1"/>
  <c r="I16" i="10" l="1"/>
  <c r="L21" i="8"/>
  <c r="N70" i="6"/>
  <c r="J34" i="8"/>
  <c r="L45" i="8"/>
  <c r="H13" i="8"/>
  <c r="J13" i="8" s="1"/>
  <c r="F7" i="16" l="1"/>
  <c r="E15" i="9" l="1"/>
  <c r="F15" i="9"/>
  <c r="D15" i="9"/>
  <c r="H7" i="16"/>
  <c r="H13" i="16"/>
  <c r="J64" i="3" l="1"/>
  <c r="J54" i="3"/>
  <c r="J53" i="3"/>
  <c r="J52" i="3"/>
  <c r="H20" i="3"/>
  <c r="J24" i="3"/>
  <c r="J15" i="3"/>
  <c r="J17" i="3"/>
  <c r="F28" i="13" s="1"/>
  <c r="N28" i="13" s="1"/>
  <c r="J18" i="3"/>
  <c r="J19" i="3"/>
  <c r="J14" i="3"/>
  <c r="F20" i="3"/>
  <c r="F16" i="3"/>
  <c r="H16" i="3"/>
  <c r="F40" i="3"/>
  <c r="J40" i="3" s="1"/>
  <c r="H67" i="4" s="1"/>
  <c r="F32" i="3"/>
  <c r="J32" i="3" s="1"/>
  <c r="H57" i="4" s="1"/>
  <c r="Q40" i="3"/>
  <c r="L13" i="16" l="1"/>
  <c r="J20" i="3"/>
  <c r="J16" i="3"/>
  <c r="G16" i="5" l="1"/>
  <c r="K16" i="5" s="1"/>
  <c r="F23" i="13"/>
  <c r="N23" i="13" s="1"/>
  <c r="F18" i="13"/>
  <c r="N18" i="13" s="1"/>
  <c r="F13" i="16"/>
  <c r="J13" i="16" s="1"/>
  <c r="N13" i="16" s="1"/>
  <c r="N29" i="16" s="1"/>
  <c r="G15" i="9" s="1"/>
  <c r="O39" i="5"/>
  <c r="D12" i="9" s="1"/>
  <c r="I34" i="10"/>
  <c r="G23" i="10"/>
  <c r="N34" i="13" l="1"/>
  <c r="F13" i="9" s="1"/>
  <c r="F34" i="4"/>
  <c r="F29" i="4"/>
  <c r="F70" i="3"/>
  <c r="H70" i="3" s="1"/>
  <c r="N77" i="4" l="1"/>
  <c r="D10" i="9" s="1"/>
  <c r="J62" i="4"/>
  <c r="J52" i="4"/>
  <c r="F10" i="4"/>
  <c r="L10" i="4" s="1"/>
  <c r="J34" i="4"/>
  <c r="F39" i="4" s="1"/>
  <c r="L39" i="4" s="1"/>
  <c r="F7" i="8" l="1"/>
  <c r="K8" i="10"/>
  <c r="F47" i="4"/>
  <c r="H62" i="4" s="1"/>
  <c r="L62" i="4" s="1"/>
  <c r="F67" i="4" s="1"/>
  <c r="N67" i="4" s="1"/>
  <c r="H15" i="11"/>
  <c r="J15" i="11" s="1"/>
  <c r="J26" i="11" s="1"/>
  <c r="J11" i="13"/>
  <c r="P11" i="13" s="1"/>
  <c r="J10" i="13"/>
  <c r="P10" i="13" s="1"/>
  <c r="J9" i="13"/>
  <c r="P9" i="13" s="1"/>
  <c r="F15" i="6"/>
  <c r="H15" i="6" s="1"/>
  <c r="L15" i="6" s="1"/>
  <c r="F54" i="6" s="1"/>
  <c r="F11" i="11"/>
  <c r="J21" i="11" s="1"/>
  <c r="F20" i="9" s="1"/>
  <c r="F20" i="4"/>
  <c r="L20" i="4" s="1"/>
  <c r="D5" i="3"/>
  <c r="D4" i="3"/>
  <c r="E13" i="10" s="1"/>
  <c r="E18" i="9" l="1"/>
  <c r="H17" i="8"/>
  <c r="D20" i="9"/>
  <c r="J31" i="11"/>
  <c r="G20" i="9" s="1"/>
  <c r="H21" i="9" s="1"/>
  <c r="D18" i="9"/>
  <c r="H7" i="8"/>
  <c r="F17" i="8"/>
  <c r="L58" i="6"/>
  <c r="M28" i="5"/>
  <c r="M16" i="5"/>
  <c r="O16" i="5" s="1"/>
  <c r="H52" i="4"/>
  <c r="L52" i="4" s="1"/>
  <c r="F57" i="4" s="1"/>
  <c r="N57" i="4" s="1"/>
  <c r="E14" i="14"/>
  <c r="F13" i="6"/>
  <c r="H13" i="6" s="1"/>
  <c r="L13" i="6" s="1"/>
  <c r="F24" i="6" s="1"/>
  <c r="E22" i="5"/>
  <c r="I22" i="5" s="1"/>
  <c r="G14" i="14"/>
  <c r="F14" i="6"/>
  <c r="H14" i="6" s="1"/>
  <c r="L14" i="6" s="1"/>
  <c r="F39" i="6" s="1"/>
  <c r="M40" i="14"/>
  <c r="D17" i="9"/>
  <c r="J8" i="13"/>
  <c r="J15" i="6"/>
  <c r="F50" i="6" s="1"/>
  <c r="F15" i="4"/>
  <c r="L15" i="4" s="1"/>
  <c r="L29" i="6"/>
  <c r="L44" i="6"/>
  <c r="L59" i="6"/>
  <c r="K30" i="14"/>
  <c r="K29" i="14"/>
  <c r="L28" i="6"/>
  <c r="L43" i="6"/>
  <c r="J17" i="8" l="1"/>
  <c r="J21" i="8" s="1"/>
  <c r="N21" i="8" s="1"/>
  <c r="J26" i="8" s="1"/>
  <c r="L26" i="8" s="1"/>
  <c r="N26" i="8" s="1"/>
  <c r="N30" i="8" s="1"/>
  <c r="H34" i="8" s="1"/>
  <c r="L34" i="8" s="1"/>
  <c r="L40" i="8" s="1"/>
  <c r="F18" i="9" s="1"/>
  <c r="D14" i="9"/>
  <c r="P8" i="13"/>
  <c r="P13" i="13" s="1"/>
  <c r="J13" i="6"/>
  <c r="F20" i="6" s="1"/>
  <c r="I14" i="14"/>
  <c r="I22" i="14" s="1"/>
  <c r="H35" i="6"/>
  <c r="J14" i="6"/>
  <c r="F35" i="6" s="1"/>
  <c r="L50" i="8" l="1"/>
  <c r="G18" i="9" s="1"/>
  <c r="N39" i="13"/>
  <c r="J35" i="6"/>
  <c r="H50" i="6"/>
  <c r="J50" i="6" s="1"/>
  <c r="I26" i="14"/>
  <c r="I29" i="14" s="1"/>
  <c r="M29" i="14" s="1"/>
  <c r="M35" i="14" s="1"/>
  <c r="M45" i="14" s="1"/>
  <c r="I28" i="5"/>
  <c r="H20" i="6"/>
  <c r="J20" i="6" s="1"/>
  <c r="H54" i="6"/>
  <c r="J54" i="6" s="1"/>
  <c r="H24" i="6"/>
  <c r="J24" i="6" s="1"/>
  <c r="H39" i="6"/>
  <c r="J39" i="6" s="1"/>
  <c r="L29" i="4"/>
  <c r="N44" i="4" s="1"/>
  <c r="N25" i="4"/>
  <c r="N44" i="13" l="1"/>
  <c r="G13" i="9" s="1"/>
  <c r="D13" i="9"/>
  <c r="F14" i="9"/>
  <c r="G14" i="9"/>
  <c r="K28" i="5"/>
  <c r="N72" i="4"/>
  <c r="J43" i="6"/>
  <c r="N43" i="6" s="1"/>
  <c r="J28" i="6"/>
  <c r="N28" i="6" s="1"/>
  <c r="J58" i="6"/>
  <c r="N58" i="6" s="1"/>
  <c r="N65" i="6" l="1"/>
  <c r="N75" i="6" s="1"/>
  <c r="N82" i="4"/>
  <c r="F10" i="9"/>
  <c r="O28" i="5"/>
  <c r="O34" i="5" s="1"/>
  <c r="E20" i="10" l="1"/>
  <c r="G20" i="10" s="1"/>
  <c r="G10" i="9"/>
  <c r="G17" i="9"/>
  <c r="H19" i="9" s="1"/>
  <c r="F17" i="9"/>
  <c r="O44" i="5"/>
  <c r="G12" i="9" s="1"/>
  <c r="F12" i="9"/>
  <c r="I20" i="10" l="1"/>
  <c r="E11" i="9"/>
  <c r="E23" i="10"/>
  <c r="I23" i="10" s="1"/>
  <c r="D11" i="9"/>
  <c r="I29" i="10" l="1"/>
  <c r="I39" i="10" l="1"/>
  <c r="G11" i="9" s="1"/>
  <c r="H16" i="9" s="1"/>
  <c r="H23" i="9" s="1"/>
  <c r="F11" i="9"/>
</calcChain>
</file>

<file path=xl/sharedStrings.xml><?xml version="1.0" encoding="utf-8"?>
<sst xmlns="http://schemas.openxmlformats.org/spreadsheetml/2006/main" count="959" uniqueCount="384">
  <si>
    <t>This funding calculator predicts state government funding for Maternal and Child Health services, at the service provider level.</t>
  </si>
  <si>
    <t>Amounts in this calculator are a prediction, and do not constitute a a formal commitment of funding.</t>
  </si>
  <si>
    <t>Funding inputs and funding formulas are subject to change.</t>
  </si>
  <si>
    <t>Key</t>
  </si>
  <si>
    <t>Enter your own numbers in these cells</t>
  </si>
  <si>
    <t>These cells cannot be directly edited</t>
  </si>
  <si>
    <r>
      <t>The values in these cells can be changed by inputting your own numbers in the yellow cells on the</t>
    </r>
    <r>
      <rPr>
        <b/>
        <sz val="11"/>
        <color theme="1"/>
        <rFont val="Calibri"/>
        <family val="2"/>
        <scheme val="minor"/>
      </rPr>
      <t xml:space="preserve"> Inputs</t>
    </r>
    <r>
      <rPr>
        <sz val="11"/>
        <color theme="1"/>
        <rFont val="Calibri"/>
        <family val="2"/>
        <scheme val="minor"/>
      </rPr>
      <t xml:space="preserve"> tab</t>
    </r>
  </si>
  <si>
    <t>Yes</t>
  </si>
  <si>
    <t>No</t>
  </si>
  <si>
    <t>Direct queries to:</t>
  </si>
  <si>
    <t>Inputs</t>
  </si>
  <si>
    <t>ê</t>
  </si>
  <si>
    <t>Service Provider</t>
  </si>
  <si>
    <t>Alpine Shire</t>
  </si>
  <si>
    <t>LGA</t>
  </si>
  <si>
    <t>Metro/Rural</t>
  </si>
  <si>
    <t>Data used in this model</t>
  </si>
  <si>
    <t>Provider-specific data inputs</t>
  </si>
  <si>
    <t>Service Provider enrolments</t>
  </si>
  <si>
    <t>Enrolled from previous year birth notification</t>
  </si>
  <si>
    <t>1-2 enrolments</t>
  </si>
  <si>
    <t>3-4 enrolments</t>
  </si>
  <si>
    <t>EMCH nurse headcount</t>
  </si>
  <si>
    <t>Socioeconomic disadvantage</t>
  </si>
  <si>
    <t>Certain elements of MCH funding allocation are weighted according to the level of socioeconomic disadvantage in each LGA.
To calculate disadvantage, VicGov obtains recent data from the Commonwealth Department of Social Services on the number of families with a child 6 or under that are receiving the maximum FTB A payment, in each LGA. This number is then divided by the total statewide number, to calculate the percentage of these recipients in each LGA (of the total across the state).</t>
  </si>
  <si>
    <t>Example</t>
  </si>
  <si>
    <t>Number of families with a child 6 or under and
receiving maximum FTB A payment</t>
  </si>
  <si>
    <t>Statewide</t>
  </si>
  <si>
    <t>÷</t>
  </si>
  <si>
    <t>=</t>
  </si>
  <si>
    <t>x</t>
  </si>
  <si>
    <t>For your Service Provider: Socioeconomic disadvantage score, as a percentage of the statewide total.</t>
  </si>
  <si>
    <t>Rurality</t>
  </si>
  <si>
    <t>Certain elements of MCH funding allocation are weighted according to the rurality of each LGA.
To calculate rurality, VicGov obtains from the University of Adelaide the most recent Accessibility/Remoteness Index of Australia (ARIA) score, for each LGA. This number is then divided by the total of all scores statewide, to calculate the percentage value for each LGA (of the total across the state). This percentage is then used to determine funding allocation.</t>
  </si>
  <si>
    <t>Total of all ARIA scores, statewide</t>
  </si>
  <si>
    <t>For your Service Provider: Rurality score, as a percentage of the statewide total.</t>
  </si>
  <si>
    <r>
      <rPr>
        <u/>
        <sz val="11"/>
        <color theme="1"/>
        <rFont val="Calibri"/>
        <family val="2"/>
        <scheme val="minor"/>
      </rPr>
      <t>Note</t>
    </r>
    <r>
      <rPr>
        <sz val="11"/>
        <color theme="1"/>
        <rFont val="Calibri"/>
        <family val="2"/>
        <scheme val="minor"/>
      </rPr>
      <t>: Metropolitan service providers may have an ARIA score of zero, and so would not receive any funding under this weighting measure.</t>
    </r>
  </si>
  <si>
    <t>Statewide data inputs</t>
  </si>
  <si>
    <t>Statewide enrolments</t>
  </si>
  <si>
    <t>Funding model elements</t>
  </si>
  <si>
    <t>Hourly rates</t>
  </si>
  <si>
    <t>MCH Unit Price</t>
  </si>
  <si>
    <t>MCH Nurse (salary only)</t>
  </si>
  <si>
    <t>Band 6 local gov (incl. oncosts and overhead)</t>
  </si>
  <si>
    <t>Band 6 local gov (salary only)</t>
  </si>
  <si>
    <t>Enhanced MCH nurse Clinical Supervision</t>
  </si>
  <si>
    <t>Universal MCH - Additional weightings</t>
  </si>
  <si>
    <t>Additional weightings funding pool</t>
  </si>
  <si>
    <t>(increases in line with unit price)</t>
  </si>
  <si>
    <t>Universal MCH - Rural sustainability grant</t>
  </si>
  <si>
    <t xml:space="preserve">Grant threshold	</t>
  </si>
  <si>
    <t>Funding Summary</t>
  </si>
  <si>
    <t>Amounts displayed are a prediction, and do not constitute a formal commitment of funding.</t>
  </si>
  <si>
    <t>Universal Maternal and Child Health Program</t>
  </si>
  <si>
    <r>
      <t xml:space="preserve">Universal MCH - Matched </t>
    </r>
    <r>
      <rPr>
        <sz val="11"/>
        <color rgb="FFFF0000"/>
        <rFont val="Calibri"/>
        <family val="2"/>
        <scheme val="minor"/>
      </rPr>
      <t>(this funding line is matched with local government funding)</t>
    </r>
  </si>
  <si>
    <r>
      <t xml:space="preserve">Universal MCH - Rural Sustainability Grant </t>
    </r>
    <r>
      <rPr>
        <sz val="11"/>
        <color theme="1"/>
        <rFont val="Calibri"/>
        <family val="2"/>
        <scheme val="minor"/>
      </rPr>
      <t>(if applicable)</t>
    </r>
  </si>
  <si>
    <t>Universal MCH - Family Violence</t>
  </si>
  <si>
    <t>Enhanced Maternal and Child Health Program</t>
  </si>
  <si>
    <t>Sleep and Settling Initiative</t>
  </si>
  <si>
    <t>Workforce Support</t>
  </si>
  <si>
    <t>MCH Workforce Support - EMCH Clinical Supervision</t>
  </si>
  <si>
    <t>Universal MCH Program</t>
  </si>
  <si>
    <t>Universal MCH - Matched funding</t>
  </si>
  <si>
    <t>Key Ages and Stages consultations</t>
  </si>
  <si>
    <t>Funded 0-1 enrolments</t>
  </si>
  <si>
    <t>+</t>
  </si>
  <si>
    <t xml:space="preserve">  å</t>
  </si>
  <si>
    <t>å</t>
  </si>
  <si>
    <t xml:space="preserve">å </t>
  </si>
  <si>
    <t>ß</t>
  </si>
  <si>
    <t xml:space="preserve">å   </t>
  </si>
  <si>
    <t>Hours per child</t>
  </si>
  <si>
    <t>Flexible service capacity</t>
  </si>
  <si>
    <t>First time mothers</t>
  </si>
  <si>
    <t>% of children funded</t>
  </si>
  <si>
    <t>Particular needs families</t>
  </si>
  <si>
    <t>Additional weightings</t>
  </si>
  <si>
    <t>Funding pool</t>
  </si>
  <si>
    <t>Additional weightings funding pool (total Statewide) (indexed in line with Unit Price)</t>
  </si>
  <si>
    <t>FTB A weighting</t>
  </si>
  <si>
    <t>% of funding pool allocated to FTB A</t>
  </si>
  <si>
    <t>FTB A allocated funding (statewide)</t>
  </si>
  <si>
    <t>Socioeconomic disadvantage score,
as a percentage of the statewide total</t>
  </si>
  <si>
    <t>ARIA weighting</t>
  </si>
  <si>
    <t>Universal MCH - Rural Sustainability Grant</t>
  </si>
  <si>
    <t>RSG threshold</t>
  </si>
  <si>
    <t>RSG</t>
  </si>
  <si>
    <t>Less than RSG threshold?</t>
  </si>
  <si>
    <t>Funding is provided for 1 additional visit for 15% of enrolled children aged 0-1 across the state.</t>
  </si>
  <si>
    <t>Funded hours per visit</t>
  </si>
  <si>
    <t>Metro LGAs are funded for 1 hour per visit, Rural LGAs are funded for 1.133 hours per visit (68 minutes)</t>
  </si>
  <si>
    <t>Metro</t>
  </si>
  <si>
    <t>Rural</t>
  </si>
  <si>
    <t>Funding is calculated in two parts:</t>
  </si>
  <si>
    <t>(60 minutes)</t>
  </si>
  <si>
    <t>(68 minutes)</t>
  </si>
  <si>
    <r>
      <rPr>
        <sz val="11"/>
        <color theme="1"/>
        <rFont val="Calibri"/>
        <family val="2"/>
      </rPr>
      <t xml:space="preserve">• </t>
    </r>
    <r>
      <rPr>
        <u/>
        <sz val="11"/>
        <color theme="1"/>
        <rFont val="Calibri"/>
        <family val="2"/>
        <scheme val="minor"/>
      </rPr>
      <t>Base funding</t>
    </r>
    <r>
      <rPr>
        <sz val="11"/>
        <color theme="1"/>
        <rFont val="Calibri"/>
        <family val="2"/>
        <scheme val="minor"/>
      </rPr>
      <t>: For each LGA, base funding is provided for visits for 10% of enrolled children aged 0-1.</t>
    </r>
  </si>
  <si>
    <r>
      <t xml:space="preserve">• </t>
    </r>
    <r>
      <rPr>
        <u/>
        <sz val="11"/>
        <color theme="1"/>
        <rFont val="Calibri"/>
        <family val="2"/>
        <scheme val="minor"/>
      </rPr>
      <t>Weighted funding</t>
    </r>
    <r>
      <rPr>
        <sz val="11"/>
        <color theme="1"/>
        <rFont val="Calibri"/>
        <family val="2"/>
        <scheme val="minor"/>
      </rPr>
      <t>: The remaining funding (5% of enrolled children aged 0-1 across the state) is allocated to LGAs using a weighted method, based on proportion of FTB A recipients in the LGA.</t>
    </r>
  </si>
  <si>
    <t>Base funding</t>
  </si>
  <si>
    <t>Target number of visits</t>
  </si>
  <si>
    <t>Hours per visit</t>
  </si>
  <si>
    <t>[rounded]</t>
  </si>
  <si>
    <t>Weighted funding</t>
  </si>
  <si>
    <t>0-1 enrolments
(statewide)</t>
  </si>
  <si>
    <t>% of children funded
(statewide)</t>
  </si>
  <si>
    <t>Number of funded visits
(weighted, statewide)</t>
  </si>
  <si>
    <t>Enhanced MCH Program</t>
  </si>
  <si>
    <t>Enhanced MCH - Base funding</t>
  </si>
  <si>
    <t>Enhanced MCH is fully funded by VicGov. Funding is allocated according to socioeconomic disadvantage and rurality, calculated using FTB A and ARIA data.</t>
  </si>
  <si>
    <t>% weighting (of total Enhanced MCH funding)</t>
  </si>
  <si>
    <t>FTB A</t>
  </si>
  <si>
    <t>ARIA</t>
  </si>
  <si>
    <t>% of families funded</t>
  </si>
  <si>
    <t>Statewide funded enrolments</t>
  </si>
  <si>
    <t>Statewide number of families funded</t>
  </si>
  <si>
    <t>Number of EMCH targets (statewide)</t>
  </si>
  <si>
    <t>Funded hours per family</t>
  </si>
  <si>
    <t>Age</t>
  </si>
  <si>
    <t>0-1</t>
  </si>
  <si>
    <t>1-2</t>
  </si>
  <si>
    <t>2-3</t>
  </si>
  <si>
    <t>0-1 Enhanced funding</t>
  </si>
  <si>
    <t>Statewide FTB A targets</t>
  </si>
  <si>
    <t>Socioeconomic disadvantage score</t>
  </si>
  <si>
    <t>FTB A weighted target families</t>
  </si>
  <si>
    <t>Statewide ARIA targets</t>
  </si>
  <si>
    <t>Rurality score</t>
  </si>
  <si>
    <t>ARIA weighted target families</t>
  </si>
  <si>
    <t>Total 0-1</t>
  </si>
  <si>
    <t>Total 0-1 target families</t>
  </si>
  <si>
    <t>1-2 Enhanced funding</t>
  </si>
  <si>
    <t>Total 1-2</t>
  </si>
  <si>
    <t>2-3 Enhanced funding</t>
  </si>
  <si>
    <t>Total 2-3</t>
  </si>
  <si>
    <t>Funding per session</t>
  </si>
  <si>
    <t>Hours per session</t>
  </si>
  <si>
    <t>Funding type</t>
  </si>
  <si>
    <t>Hourly funding rate</t>
  </si>
  <si>
    <t>Loading</t>
  </si>
  <si>
    <t>Affected sessions</t>
  </si>
  <si>
    <t>Funding</t>
  </si>
  <si>
    <t>MCH Nurse</t>
  </si>
  <si>
    <t>Penalty loading</t>
  </si>
  <si>
    <t>Non-MCH Nurse</t>
  </si>
  <si>
    <t>Total</t>
  </si>
  <si>
    <t>Newborn sessions</t>
  </si>
  <si>
    <t>Number of funded sessions</t>
  </si>
  <si>
    <t>Families per session</t>
  </si>
  <si>
    <t>Eligibility</t>
  </si>
  <si>
    <t>Uptake</t>
  </si>
  <si>
    <t>[rounded up]</t>
  </si>
  <si>
    <t>Baby sessions</t>
  </si>
  <si>
    <t>Toddler sessions</t>
  </si>
  <si>
    <t>Funded 1-2 enrolments</t>
  </si>
  <si>
    <t>Funding is provided for 4.5% of enrolled children aged 0-2 across the state.</t>
  </si>
  <si>
    <t>Hours per funded family</t>
  </si>
  <si>
    <t>0-1 statewide funded enrolments</t>
  </si>
  <si>
    <t>1-2 statewide funded enrolments</t>
  </si>
  <si>
    <t>0-2 enrolments
(statewide)</t>
  </si>
  <si>
    <t>Number of funded families
(statewide)</t>
  </si>
  <si>
    <t>Enhanced MCH Clinical Supervision funding supports the clinical supervision of Enhanced MCH nurses, to build their capability and capacity. The funding contribution is based on the model of monthly group clinical supervision for every nurse who works in the Enhanced MCH Program. Local government have flexibility to operationalise clinical supervision to meet their local needs, while maintaining best practice.</t>
  </si>
  <si>
    <t>Enhanced MCH Clinical Supervision</t>
  </si>
  <si>
    <t>EMCH Clinical Supervision</t>
  </si>
  <si>
    <t>Hours per year per EMCH nurse</t>
  </si>
  <si>
    <t>Hourly Rate</t>
  </si>
  <si>
    <t>Funded Provider</t>
  </si>
  <si>
    <t>Enhanced MCH - Base Funding</t>
  </si>
  <si>
    <t>Ararat Rural City</t>
  </si>
  <si>
    <t>Ballarat City</t>
  </si>
  <si>
    <t>Banyule City</t>
  </si>
  <si>
    <t>Bass Coast Health</t>
  </si>
  <si>
    <t>Bass Coast Shire</t>
  </si>
  <si>
    <t>Baw Baw Shire</t>
  </si>
  <si>
    <t>Bayside City</t>
  </si>
  <si>
    <t>Benalla Shire</t>
  </si>
  <si>
    <t>Boroondara City</t>
  </si>
  <si>
    <t>Brimbank City</t>
  </si>
  <si>
    <t>Buloke Shire</t>
  </si>
  <si>
    <t>Campaspe Shire</t>
  </si>
  <si>
    <t>Cardinia Shire</t>
  </si>
  <si>
    <t>Casey City</t>
  </si>
  <si>
    <t>Central Gippsland Health Service</t>
  </si>
  <si>
    <t>Wellington Shire</t>
  </si>
  <si>
    <t>Central Goldfields Shire</t>
  </si>
  <si>
    <t>Colac-Otway Shire</t>
  </si>
  <si>
    <t>Corangamite Shire</t>
  </si>
  <si>
    <t>Darebin City</t>
  </si>
  <si>
    <t>Frankston City</t>
  </si>
  <si>
    <t>Gannawarra Shire</t>
  </si>
  <si>
    <t>East Gippsland Shire</t>
  </si>
  <si>
    <t>Glen Eira City</t>
  </si>
  <si>
    <t>Glenelg Shire</t>
  </si>
  <si>
    <t>Golden Plains Shire</t>
  </si>
  <si>
    <t>Greater Bendigo City</t>
  </si>
  <si>
    <t>Greater Dandenong City</t>
  </si>
  <si>
    <t>Greater Geelong City</t>
  </si>
  <si>
    <t>Greater Shepparton City</t>
  </si>
  <si>
    <t>Hepburn Shire</t>
  </si>
  <si>
    <t>Hobsons Bay City</t>
  </si>
  <si>
    <t>Horsham Rural City</t>
  </si>
  <si>
    <t>Hume City</t>
  </si>
  <si>
    <t>Indigo Shire</t>
  </si>
  <si>
    <t>Kingston City</t>
  </si>
  <si>
    <t>Knox City</t>
  </si>
  <si>
    <t>Latrobe City</t>
  </si>
  <si>
    <t>Loddon Shire</t>
  </si>
  <si>
    <t>Macedon Ranges Shire</t>
  </si>
  <si>
    <t>Manningham City</t>
  </si>
  <si>
    <t>Mansfield Shire</t>
  </si>
  <si>
    <t>Maribyrnong City</t>
  </si>
  <si>
    <t>Maroondah City</t>
  </si>
  <si>
    <t>Melbourne City</t>
  </si>
  <si>
    <t>Melton Shire</t>
  </si>
  <si>
    <t>Mildura Rural City</t>
  </si>
  <si>
    <t>Mitchell Shire</t>
  </si>
  <si>
    <t>Moira Shire</t>
  </si>
  <si>
    <t>Monash City</t>
  </si>
  <si>
    <t>Moonee Valley City</t>
  </si>
  <si>
    <t>Moorabool Shire</t>
  </si>
  <si>
    <t>Mornington Peninsula Shire</t>
  </si>
  <si>
    <t>Mount Alexander Shire</t>
  </si>
  <si>
    <t>Moyne Shire</t>
  </si>
  <si>
    <t>Murrindindi Shire</t>
  </si>
  <si>
    <t>Nillumbik Shire</t>
  </si>
  <si>
    <t>Northern Grampians Shire</t>
  </si>
  <si>
    <t>Orbost Regional Health Service</t>
  </si>
  <si>
    <t>Port Phillip City</t>
  </si>
  <si>
    <t>Pyrenees Shire</t>
  </si>
  <si>
    <t>Queenscliffe Borough</t>
  </si>
  <si>
    <t>South Gippsland Shire</t>
  </si>
  <si>
    <t>Southern Grampians Shire</t>
  </si>
  <si>
    <t>Stonnington City</t>
  </si>
  <si>
    <t>Strathbogie Shire</t>
  </si>
  <si>
    <t>Surf Coast Shire</t>
  </si>
  <si>
    <t>Swan Hill Rural City</t>
  </si>
  <si>
    <t>Towong Shire</t>
  </si>
  <si>
    <t>Wangaratta Rural City</t>
  </si>
  <si>
    <t>Warrnambool City</t>
  </si>
  <si>
    <t>West Wimmera Health Service</t>
  </si>
  <si>
    <t>Hindmarsh Shire</t>
  </si>
  <si>
    <t>West Wimmera Shire</t>
  </si>
  <si>
    <t>Whitehorse City</t>
  </si>
  <si>
    <t>Whittlesea City</t>
  </si>
  <si>
    <t>Wodonga Rural City</t>
  </si>
  <si>
    <t>Wyndham City</t>
  </si>
  <si>
    <t>Yarra City</t>
  </si>
  <si>
    <t>Yarra Ranges Shire</t>
  </si>
  <si>
    <t>Yarram and District Health Service</t>
  </si>
  <si>
    <t>Yarriambiack Shire</t>
  </si>
  <si>
    <t>2022-23 funding data</t>
  </si>
  <si>
    <t>Universal MCH - Sleep and Settling - Information Sessions</t>
  </si>
  <si>
    <t>Universal MCH - Sleep and Settling - Outreach Consultations</t>
  </si>
  <si>
    <r>
      <t>Enhanced MCH - Interface Councils</t>
    </r>
    <r>
      <rPr>
        <sz val="11"/>
        <color theme="1"/>
        <rFont val="Calibri"/>
        <family val="2"/>
        <scheme val="minor"/>
      </rPr>
      <t xml:space="preserve"> (if applicable)</t>
    </r>
  </si>
  <si>
    <r>
      <t>Universal MCH - Interface Councils</t>
    </r>
    <r>
      <rPr>
        <sz val="11"/>
        <color theme="1"/>
        <rFont val="Calibri"/>
        <family val="2"/>
        <scheme val="minor"/>
      </rPr>
      <t xml:space="preserve"> (if applicable)</t>
    </r>
  </si>
  <si>
    <t>MCH Vic Gov Funding Calculator</t>
  </si>
  <si>
    <t>mch.reporting@health.vic.gov.au</t>
  </si>
  <si>
    <t>Interface</t>
  </si>
  <si>
    <t>Merri-bek City</t>
  </si>
  <si>
    <t>Gippsland Lakes Complete Health</t>
  </si>
  <si>
    <t>Melton City</t>
  </si>
  <si>
    <t>FP's FTB A %</t>
  </si>
  <si>
    <t>FP's ARIA %</t>
  </si>
  <si>
    <t>MCH Unit Price (50% funded)</t>
  </si>
  <si>
    <t>KAS 1-7
(0-1 years)</t>
  </si>
  <si>
    <t>KAS 8-9
(1-2 years)</t>
  </si>
  <si>
    <t>KAS 10
3-4 years</t>
  </si>
  <si>
    <t>Annual data</t>
  </si>
  <si>
    <t>50% MCH Unit Price</t>
  </si>
  <si>
    <t>Funded 0-6 enrolments</t>
  </si>
  <si>
    <t>Number of cohort years</t>
  </si>
  <si>
    <t>Average enrolment</t>
  </si>
  <si>
    <t>Provider percentage of statewide total</t>
  </si>
  <si>
    <t>at Provider</t>
  </si>
  <si>
    <t>ARIA score
for Provider</t>
  </si>
  <si>
    <t>Target Hours (statewide)</t>
  </si>
  <si>
    <t>Socioeconomic disadvantage score, as a percentage of the statewide total</t>
  </si>
  <si>
    <t>Total Target Hours</t>
  </si>
  <si>
    <t>Indexation</t>
  </si>
  <si>
    <r>
      <t xml:space="preserve">This model will use:
- </t>
    </r>
    <r>
      <rPr>
        <i/>
        <sz val="11"/>
        <color theme="8"/>
        <rFont val="Calibri"/>
        <family val="2"/>
        <scheme val="minor"/>
      </rPr>
      <t>your prediction (column H)</t>
    </r>
    <r>
      <rPr>
        <i/>
        <sz val="11"/>
        <color theme="1"/>
        <rFont val="Calibri"/>
        <family val="2"/>
        <scheme val="minor"/>
      </rPr>
      <t xml:space="preserve">, if you enter one; otherwise
- </t>
    </r>
    <r>
      <rPr>
        <i/>
        <sz val="11"/>
        <color rgb="FFCC0099"/>
        <rFont val="Calibri"/>
        <family val="2"/>
        <scheme val="minor"/>
      </rPr>
      <t>previous year's data (column F)</t>
    </r>
    <r>
      <rPr>
        <i/>
        <sz val="11"/>
        <color theme="1"/>
        <rFont val="Calibri"/>
        <family val="2"/>
        <scheme val="minor"/>
      </rPr>
      <t xml:space="preserve"> if available</t>
    </r>
  </si>
  <si>
    <t>You can enter your own predictions for 2023-24 data in the yellow cells in this column</t>
  </si>
  <si>
    <t>Interface Council?</t>
  </si>
  <si>
    <t>UMCH Interface funding</t>
  </si>
  <si>
    <t>Interface-Council-wide data inputs</t>
  </si>
  <si>
    <t>Interface-Council-wide enrolments</t>
  </si>
  <si>
    <t>0-1 funded enrolments</t>
  </si>
  <si>
    <t>1-2 funded enrolments</t>
  </si>
  <si>
    <t>2-3 funded enrolments</t>
  </si>
  <si>
    <t>0-6 funded enrolments</t>
  </si>
  <si>
    <t>Interface-council-wide
0-6 funded enrolments</t>
  </si>
  <si>
    <t>Provider % share</t>
  </si>
  <si>
    <t>Universal MCH - Interface funding</t>
  </si>
  <si>
    <t>UMCH Interface funding pool</t>
  </si>
  <si>
    <t>Reported 0-1 enrolments</t>
  </si>
  <si>
    <t>Reported 1-2 enrolments</t>
  </si>
  <si>
    <t>Reported 3-4 enrolments</t>
  </si>
  <si>
    <t>Reported 0-6 enrolments</t>
  </si>
  <si>
    <t>Number of funded families</t>
  </si>
  <si>
    <t>EMCH Interface funding</t>
  </si>
  <si>
    <t>EMCH Interface funding pool</t>
  </si>
  <si>
    <t>Initial target</t>
  </si>
  <si>
    <t>Initial funding</t>
  </si>
  <si>
    <t>Interface-Council-only</t>
  </si>
  <si>
    <t>n/a</t>
  </si>
  <si>
    <t>2022-23 funding</t>
  </si>
  <si>
    <t>More than 10% reduction?</t>
  </si>
  <si>
    <t>Topup</t>
  </si>
  <si>
    <t>Initial 2023-24 funding</t>
  </si>
  <si>
    <t>Initial target, funding, topup</t>
  </si>
  <si>
    <t>Actual target</t>
  </si>
  <si>
    <t>Actual target and funding</t>
  </si>
  <si>
    <t>Price per nurse</t>
  </si>
  <si>
    <t>Sub activity</t>
  </si>
  <si>
    <t>Activity</t>
  </si>
  <si>
    <t>Unit price</t>
  </si>
  <si>
    <t>Unit description</t>
  </si>
  <si>
    <t>Target units</t>
  </si>
  <si>
    <t>Sessions</t>
  </si>
  <si>
    <t>EMCH Nurses</t>
  </si>
  <si>
    <r>
      <t xml:space="preserve">Change the values on the </t>
    </r>
    <r>
      <rPr>
        <b/>
        <sz val="11"/>
        <color theme="1"/>
        <rFont val="Calibri"/>
        <family val="2"/>
        <scheme val="minor"/>
      </rPr>
      <t>Inputs</t>
    </r>
    <r>
      <rPr>
        <sz val="11"/>
        <color theme="1"/>
        <rFont val="Calibri"/>
        <family val="2"/>
        <scheme val="minor"/>
      </rPr>
      <t xml:space="preserve"> tab to change your funding prediction.</t>
    </r>
  </si>
  <si>
    <t>Hours</t>
  </si>
  <si>
    <t>Total KAS</t>
  </si>
  <si>
    <t>Total flex capacity</t>
  </si>
  <si>
    <t>KAS Hours</t>
  </si>
  <si>
    <t>Flex Capacity Hours</t>
  </si>
  <si>
    <t>Additional Hours
(socioeconomic disadvantage)</t>
  </si>
  <si>
    <t>Rurality score, as a percentage of the statewide total</t>
  </si>
  <si>
    <t>Additional Hours
(rurality)</t>
  </si>
  <si>
    <t>TARGET</t>
  </si>
  <si>
    <t>UNIT</t>
  </si>
  <si>
    <t>FUNDING</t>
  </si>
  <si>
    <t>ARIA allocated funding (statewide)</t>
  </si>
  <si>
    <t>% of funding pool allocated to ARIA</t>
  </si>
  <si>
    <t>→</t>
  </si>
  <si>
    <t>(indexed in line with MCH Unit Price)</t>
  </si>
  <si>
    <t>Shortfall</t>
  </si>
  <si>
    <t>Total target hours</t>
  </si>
  <si>
    <t>Total Target Sessions</t>
  </si>
  <si>
    <t>S&amp;S Info Session Price</t>
  </si>
  <si>
    <t>2023-24 prediction</t>
  </si>
  <si>
    <t>Enhanced MCH - Interface Council</t>
  </si>
  <si>
    <t>Universal MCH - Interface Council</t>
  </si>
  <si>
    <t>The Department of Health has allocated fixed term funding for Interface Councils to support additional Universal MCH service capacity. Funding allocations are based on the number of 0-6 year olds enrolled in each service. Funding will be provided for the 2022-23 and 2023-24 financial years. This funding does not have targets; it can be used for direct service delivery or for administrative support activities.</t>
  </si>
  <si>
    <r>
      <t>The values in these cells will change based on your prediction of the indexation rate (</t>
    </r>
    <r>
      <rPr>
        <b/>
        <sz val="11"/>
        <color theme="1"/>
        <rFont val="Calibri"/>
        <family val="2"/>
        <scheme val="minor"/>
      </rPr>
      <t>Inputs</t>
    </r>
    <r>
      <rPr>
        <sz val="11"/>
        <color theme="1"/>
        <rFont val="Calibri"/>
        <family val="2"/>
        <scheme val="minor"/>
      </rPr>
      <t xml:space="preserve"> tab)</t>
    </r>
  </si>
  <si>
    <r>
      <t xml:space="preserve">Actual funding in 2022-23 for your provider
for </t>
    </r>
    <r>
      <rPr>
        <b/>
        <sz val="11"/>
        <color theme="1"/>
        <rFont val="Calibri"/>
        <family val="2"/>
        <scheme val="minor"/>
      </rPr>
      <t>Enhanced MCH - Interface</t>
    </r>
  </si>
  <si>
    <r>
      <rPr>
        <sz val="11"/>
        <color rgb="FFFF0000"/>
        <rFont val="Calibri"/>
        <family val="2"/>
        <scheme val="minor"/>
      </rPr>
      <t>DHAnnualReport</t>
    </r>
    <r>
      <rPr>
        <sz val="11"/>
        <color theme="1"/>
        <rFont val="Calibri"/>
        <family val="2"/>
        <scheme val="minor"/>
      </rPr>
      <t xml:space="preserve">; </t>
    </r>
    <r>
      <rPr>
        <sz val="11"/>
        <color theme="8"/>
        <rFont val="Calibri"/>
        <family val="2"/>
        <scheme val="minor"/>
      </rPr>
      <t>cell D20</t>
    </r>
    <r>
      <rPr>
        <sz val="11"/>
        <color theme="1"/>
        <rFont val="Calibri"/>
        <family val="2"/>
        <scheme val="minor"/>
      </rPr>
      <t xml:space="preserve">; </t>
    </r>
    <r>
      <rPr>
        <sz val="11"/>
        <color rgb="FFFF0000"/>
        <rFont val="Calibri"/>
        <family val="2"/>
        <scheme val="minor"/>
      </rPr>
      <t>2e Total No of infant record cards, Drawer 1</t>
    </r>
  </si>
  <si>
    <r>
      <rPr>
        <sz val="11"/>
        <color rgb="FFFF0000"/>
        <rFont val="Calibri"/>
        <family val="2"/>
        <scheme val="minor"/>
      </rPr>
      <t>DHAnnualReport</t>
    </r>
    <r>
      <rPr>
        <sz val="11"/>
        <color theme="1"/>
        <rFont val="Calibri"/>
        <family val="2"/>
        <scheme val="minor"/>
      </rPr>
      <t xml:space="preserve">; </t>
    </r>
    <r>
      <rPr>
        <sz val="11"/>
        <color theme="8"/>
        <rFont val="Calibri"/>
        <family val="2"/>
        <scheme val="minor"/>
      </rPr>
      <t>cell E17</t>
    </r>
    <r>
      <rPr>
        <sz val="11"/>
        <color theme="1"/>
        <rFont val="Calibri"/>
        <family val="2"/>
        <scheme val="minor"/>
      </rPr>
      <t xml:space="preserve">; </t>
    </r>
    <r>
      <rPr>
        <sz val="11"/>
        <color rgb="FFFF0000"/>
        <rFont val="Calibri"/>
        <family val="2"/>
        <scheme val="minor"/>
      </rPr>
      <t>2b No of infants enrolled from birth notifications received last financial year, Drawer 2</t>
    </r>
  </si>
  <si>
    <t>This is the sum of the above two numbers</t>
  </si>
  <si>
    <r>
      <rPr>
        <sz val="11"/>
        <color rgb="FFFF0000"/>
        <rFont val="Calibri"/>
        <family val="2"/>
        <scheme val="minor"/>
      </rPr>
      <t>DHAnnualReport</t>
    </r>
    <r>
      <rPr>
        <sz val="11"/>
        <color theme="1"/>
        <rFont val="Calibri"/>
        <family val="2"/>
        <scheme val="minor"/>
      </rPr>
      <t xml:space="preserve">; </t>
    </r>
    <r>
      <rPr>
        <sz val="11"/>
        <color theme="8"/>
        <rFont val="Calibri"/>
        <family val="2"/>
        <scheme val="minor"/>
      </rPr>
      <t>cell E20</t>
    </r>
    <r>
      <rPr>
        <sz val="11"/>
        <color theme="1"/>
        <rFont val="Calibri"/>
        <family val="2"/>
        <scheme val="minor"/>
      </rPr>
      <t xml:space="preserve">; </t>
    </r>
    <r>
      <rPr>
        <sz val="11"/>
        <color rgb="FFFF0000"/>
        <rFont val="Calibri"/>
        <family val="2"/>
        <scheme val="minor"/>
      </rPr>
      <t>2e Total No of infant record cards, Drawer 2</t>
    </r>
  </si>
  <si>
    <r>
      <rPr>
        <sz val="11"/>
        <color rgb="FFFF0000"/>
        <rFont val="Calibri"/>
        <family val="2"/>
        <scheme val="minor"/>
      </rPr>
      <t>DHAnnualReport</t>
    </r>
    <r>
      <rPr>
        <sz val="11"/>
        <color theme="1"/>
        <rFont val="Calibri"/>
        <family val="2"/>
        <scheme val="minor"/>
      </rPr>
      <t xml:space="preserve">; </t>
    </r>
    <r>
      <rPr>
        <sz val="11"/>
        <color theme="8"/>
        <rFont val="Calibri"/>
        <family val="2"/>
        <scheme val="minor"/>
      </rPr>
      <t>cell G20</t>
    </r>
    <r>
      <rPr>
        <sz val="11"/>
        <color theme="1"/>
        <rFont val="Calibri"/>
        <family val="2"/>
        <scheme val="minor"/>
      </rPr>
      <t xml:space="preserve">; </t>
    </r>
    <r>
      <rPr>
        <sz val="11"/>
        <color rgb="FFFF0000"/>
        <rFont val="Calibri"/>
        <family val="2"/>
        <scheme val="minor"/>
      </rPr>
      <t>2e Total No of infant record cards, Drawer 4</t>
    </r>
  </si>
  <si>
    <r>
      <rPr>
        <sz val="11"/>
        <color rgb="FFFF0000"/>
        <rFont val="Calibri"/>
        <family val="2"/>
        <scheme val="minor"/>
      </rPr>
      <t>DHAnnualReport</t>
    </r>
    <r>
      <rPr>
        <sz val="11"/>
        <color theme="1"/>
        <rFont val="Calibri"/>
        <family val="2"/>
        <scheme val="minor"/>
      </rPr>
      <t xml:space="preserve">; </t>
    </r>
    <r>
      <rPr>
        <sz val="11"/>
        <color theme="8"/>
        <rFont val="Calibri"/>
        <family val="2"/>
        <scheme val="minor"/>
      </rPr>
      <t>cell J20</t>
    </r>
    <r>
      <rPr>
        <sz val="11"/>
        <color theme="1"/>
        <rFont val="Calibri"/>
        <family val="2"/>
        <scheme val="minor"/>
      </rPr>
      <t xml:space="preserve">; </t>
    </r>
    <r>
      <rPr>
        <sz val="11"/>
        <color rgb="FFFF0000"/>
        <rFont val="Calibri"/>
        <family val="2"/>
        <scheme val="minor"/>
      </rPr>
      <t>2e Total No of infant record cards, Total</t>
    </r>
  </si>
  <si>
    <t>This is the sum of cell E17 and cell J20</t>
  </si>
  <si>
    <t>Enhanced MCH Nurses receiving clinical supervision</t>
  </si>
  <si>
    <t>Headcount of EMCH nurses receiving clinical supervision</t>
  </si>
  <si>
    <t>Refer to your 2022-23 funding letter for the number of nurses you are funded to support with clinical supervision in 2022-23 (column F).</t>
  </si>
  <si>
    <t>Enter your 2023-24 indexation prediction in column H. (Indexation in 2022-23 was 2.54%)</t>
  </si>
  <si>
    <t>Interface Councils should fill in column F based on their 2022-23 funding letter.</t>
  </si>
  <si>
    <t>Your predictions for all these values are calculated automatically based on your indexation prediction.</t>
  </si>
  <si>
    <t>These numbers are difficult to predict. You may attempt to do so by entering predictions into column H, however we advise relying on the previous year figures (column F)</t>
  </si>
  <si>
    <t>Metro Providers are funded for 6 hours per family, Rural Providers are funded for 6.8 hours per family</t>
  </si>
  <si>
    <t>Funding is allocated to Providers using a weighted method, based on proportion of FTB A recipients in the LGA.</t>
  </si>
  <si>
    <t>0-1 hours</t>
  </si>
  <si>
    <t>1-2 hours</t>
  </si>
  <si>
    <t>2-3 hours</t>
  </si>
  <si>
    <t>Hours per family</t>
  </si>
  <si>
    <t>Interface-wide funded hours</t>
  </si>
  <si>
    <t>Interface-wide hours</t>
  </si>
  <si>
    <t>Indicative funding</t>
  </si>
  <si>
    <t>This funding initiative has been renamed “Enhanced MCH – Interface Councils”, replacing the previous “Growing Communities, Thriving Children”. Funding allocations are based on the number of 0-6 year olds enrolled in each service. Funding should be used to deliver additional Enhanced MCH services. In accordance with Enhanced MCH guidelines, service providers can use their Enhanced MCH funding flexibly, to best meet the needs of their community.</t>
  </si>
  <si>
    <t>vs.</t>
  </si>
  <si>
    <t>Total target nurses</t>
  </si>
  <si>
    <t>EMCH Clinical Supervision price</t>
  </si>
  <si>
    <t>Indicates this section is relevant to your Provider</t>
  </si>
  <si>
    <t>Indicates this section is not relevant to your Provider</t>
  </si>
  <si>
    <t>This headcount is calculated using workforce data submitted as part of annual reporting.
EMCH headcount + EMCH FTE vacancies are used together to determine this target.</t>
  </si>
  <si>
    <t>Enter your actual 2022-23 funding data in the yellow cells in this column – see column M for instructions</t>
  </si>
  <si>
    <r>
      <t xml:space="preserve">Use your </t>
    </r>
    <r>
      <rPr>
        <sz val="11"/>
        <color rgb="FFFF0000"/>
        <rFont val="Calibri"/>
        <family val="2"/>
        <scheme val="minor"/>
      </rPr>
      <t>2021-22 DHAnnualReport</t>
    </r>
    <r>
      <rPr>
        <sz val="11"/>
        <color theme="1"/>
        <rFont val="Calibri"/>
        <family val="2"/>
        <scheme val="minor"/>
      </rPr>
      <t xml:space="preserve"> that you submitted to the Department in July 2022, to fill out the yellow cells in column F.</t>
    </r>
  </si>
  <si>
    <t>LGA of provider</t>
  </si>
  <si>
    <t>Only DH-funded LGA-based provider operating in your LGA?</t>
  </si>
  <si>
    <r>
      <t xml:space="preserve">Total VicGov contribution to </t>
    </r>
    <r>
      <rPr>
        <b/>
        <sz val="11"/>
        <color theme="1"/>
        <rFont val="Calibri"/>
        <family val="2"/>
        <scheme val="minor"/>
      </rPr>
      <t>UMCH - Matched</t>
    </r>
    <r>
      <rPr>
        <sz val="11"/>
        <color theme="1"/>
        <rFont val="Calibri"/>
        <family val="2"/>
        <scheme val="minor"/>
      </rPr>
      <t xml:space="preserve"> services</t>
    </r>
  </si>
  <si>
    <t>Answer options</t>
  </si>
  <si>
    <t>Are there multiple LGA-based MCH providers servicing this LGA (not including Aboriginal-led MCH providers)?</t>
  </si>
  <si>
    <t>Yes, there are two providers in this LGA</t>
  </si>
  <si>
    <t>The Rural Sustainability Grant (RSG) helps to stabilise funding for MCH services in LGAs with very low enrolments, and provides a measure of sustainability to these services. LGAs that receive less than the threshold amount from the State Government for their "Universal MCH - Matched" funding receive a rural sustainability grant to top up their funding to that threshold.</t>
  </si>
  <si>
    <t>Version date: 21 Dec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</si>
</sst>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 #,##0_-;_-* &quot;-&quot;??_-;_-@_-"/>
    <numFmt numFmtId="165" formatCode="0.000%"/>
    <numFmt numFmtId="166" formatCode="0.000"/>
    <numFmt numFmtId="167" formatCode="#,##0_ ;\-#,##0\ "/>
    <numFmt numFmtId="168" formatCode="#,##0.0_ ;\-#,##0.0\ "/>
    <numFmt numFmtId="169" formatCode="_-&quot;$&quot;* #,##0_-;\-&quot;$&quot;* #,##0_-;_-&quot;$&quot;* &quot;-&quot;??_-;_-@_-"/>
    <numFmt numFmtId="170" formatCode="0.0%"/>
    <numFmt numFmtId="171" formatCode="_-&quot;$&quot;* #,##0.000_-;\-&quot;$&quot;* #,##0.000_-;_-&quot;$&quot;* &quot;-&quot;??_-;_-@_-"/>
  </numFmts>
  <fonts count="6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6"/>
      <color theme="1"/>
      <name val="Calibri"/>
      <family val="2"/>
      <scheme val="minor"/>
    </font>
    <font>
      <sz val="10"/>
      <name val="Verdana"/>
      <family val="2"/>
    </font>
    <font>
      <sz val="11"/>
      <name val="Calibri"/>
      <family val="2"/>
      <scheme val="minor"/>
    </font>
    <font>
      <sz val="11"/>
      <color rgb="FF006100"/>
      <name val="Calibri"/>
      <family val="2"/>
      <scheme val="minor"/>
    </font>
    <font>
      <sz val="11"/>
      <color rgb="FF9C0006"/>
      <name val="Calibri"/>
      <family val="2"/>
      <scheme val="minor"/>
    </font>
    <font>
      <b/>
      <sz val="11"/>
      <color rgb="FF006100"/>
      <name val="Calibri"/>
      <family val="2"/>
      <scheme val="minor"/>
    </font>
    <font>
      <b/>
      <sz val="11"/>
      <color rgb="FF9C0006"/>
      <name val="Calibri"/>
      <family val="2"/>
      <scheme val="minor"/>
    </font>
    <font>
      <u/>
      <sz val="11"/>
      <color theme="1"/>
      <name val="Calibri"/>
      <family val="2"/>
      <scheme val="minor"/>
    </font>
    <font>
      <b/>
      <u/>
      <sz val="11"/>
      <color theme="1"/>
      <name val="Calibri"/>
      <family val="2"/>
      <scheme val="minor"/>
    </font>
    <font>
      <b/>
      <sz val="18"/>
      <color theme="4" tint="-0.499984740745262"/>
      <name val="Calibri"/>
      <family val="2"/>
      <scheme val="minor"/>
    </font>
    <font>
      <sz val="18"/>
      <color theme="4" tint="-0.499984740745262"/>
      <name val="Calibri"/>
      <family val="2"/>
      <scheme val="minor"/>
    </font>
    <font>
      <b/>
      <u/>
      <sz val="20"/>
      <color theme="4" tint="-0.499984740745262"/>
      <name val="Calibri"/>
      <family val="2"/>
      <scheme val="minor"/>
    </font>
    <font>
      <u/>
      <sz val="20"/>
      <color theme="1"/>
      <name val="Calibri"/>
      <family val="2"/>
      <scheme val="minor"/>
    </font>
    <font>
      <u/>
      <sz val="20"/>
      <color theme="4" tint="-0.249977111117893"/>
      <name val="Calibri"/>
      <family val="2"/>
      <scheme val="minor"/>
    </font>
    <font>
      <sz val="11"/>
      <color theme="4" tint="-0.249977111117893"/>
      <name val="Calibri"/>
      <family val="2"/>
      <scheme val="minor"/>
    </font>
    <font>
      <b/>
      <sz val="16"/>
      <color theme="4" tint="-0.249977111117893"/>
      <name val="Calibri"/>
      <family val="2"/>
      <scheme val="minor"/>
    </font>
    <font>
      <i/>
      <sz val="11"/>
      <color theme="4" tint="-0.249977111117893"/>
      <name val="Calibri"/>
      <family val="2"/>
      <scheme val="minor"/>
    </font>
    <font>
      <b/>
      <sz val="11"/>
      <color rgb="FFFF0000"/>
      <name val="Calibri"/>
      <family val="2"/>
      <scheme val="minor"/>
    </font>
    <font>
      <sz val="11"/>
      <color theme="1"/>
      <name val="Calibri"/>
      <family val="2"/>
    </font>
    <font>
      <i/>
      <sz val="10"/>
      <color theme="1"/>
      <name val="Calibri"/>
      <family val="2"/>
      <scheme val="minor"/>
    </font>
    <font>
      <sz val="14"/>
      <color theme="4" tint="-0.249977111117893"/>
      <name val="Calibri"/>
      <family val="2"/>
      <scheme val="minor"/>
    </font>
    <font>
      <sz val="14"/>
      <color theme="1"/>
      <name val="Calibri"/>
      <family val="2"/>
      <scheme val="minor"/>
    </font>
    <font>
      <sz val="10"/>
      <color theme="4"/>
      <name val="Wingdings"/>
      <charset val="2"/>
    </font>
    <font>
      <i/>
      <sz val="10"/>
      <color theme="4"/>
      <name val="Calibri"/>
      <family val="2"/>
      <scheme val="minor"/>
    </font>
    <font>
      <sz val="10"/>
      <color theme="4"/>
      <name val="Calibri"/>
      <family val="2"/>
      <scheme val="minor"/>
    </font>
    <font>
      <b/>
      <sz val="18"/>
      <color rgb="FFFF0000"/>
      <name val="Calibri"/>
      <family val="2"/>
      <scheme val="minor"/>
    </font>
    <font>
      <u/>
      <sz val="11"/>
      <color theme="10"/>
      <name val="Calibri"/>
      <family val="2"/>
      <scheme val="minor"/>
    </font>
    <font>
      <sz val="10"/>
      <color theme="1"/>
      <name val="Calibri"/>
      <family val="2"/>
      <scheme val="minor"/>
    </font>
    <font>
      <b/>
      <sz val="14"/>
      <color rgb="FFCC0099"/>
      <name val="Calibri"/>
      <family val="2"/>
      <scheme val="minor"/>
    </font>
    <font>
      <b/>
      <sz val="14"/>
      <color rgb="FFFF0000"/>
      <name val="Calibri"/>
      <family val="2"/>
      <scheme val="minor"/>
    </font>
    <font>
      <b/>
      <sz val="16"/>
      <color rgb="FF000000"/>
      <name val="Calibri"/>
      <family val="2"/>
      <scheme val="minor"/>
    </font>
    <font>
      <i/>
      <sz val="11"/>
      <color theme="8"/>
      <name val="Calibri"/>
      <family val="2"/>
      <scheme val="minor"/>
    </font>
    <font>
      <i/>
      <sz val="11"/>
      <color rgb="FFCC0099"/>
      <name val="Calibri"/>
      <family val="2"/>
      <scheme val="minor"/>
    </font>
    <font>
      <sz val="36"/>
      <color rgb="FFFF0000"/>
      <name val="Wingdings"/>
      <charset val="2"/>
    </font>
    <font>
      <sz val="36"/>
      <color rgb="FFFF0000"/>
      <name val="Calibri"/>
      <family val="2"/>
      <scheme val="minor"/>
    </font>
    <font>
      <sz val="11"/>
      <color rgb="FFFF0000"/>
      <name val="Calibri"/>
      <family val="2"/>
      <scheme val="minor"/>
    </font>
    <font>
      <sz val="8"/>
      <name val="Calibri"/>
      <family val="2"/>
      <scheme val="minor"/>
    </font>
    <font>
      <b/>
      <sz val="14"/>
      <color theme="8"/>
      <name val="Calibri"/>
      <family val="2"/>
      <scheme val="minor"/>
    </font>
    <font>
      <b/>
      <sz val="12"/>
      <color theme="1"/>
      <name val="Calibri"/>
      <family val="2"/>
      <scheme val="minor"/>
    </font>
    <font>
      <sz val="10"/>
      <name val="Calibri"/>
      <family val="2"/>
      <scheme val="minor"/>
    </font>
    <font>
      <b/>
      <sz val="18"/>
      <color theme="8"/>
      <name val="Calibri"/>
      <family val="2"/>
      <scheme val="minor"/>
    </font>
    <font>
      <sz val="11"/>
      <color theme="4"/>
      <name val="Calibri"/>
      <family val="2"/>
    </font>
    <font>
      <sz val="11"/>
      <color theme="5"/>
      <name val="Calibri"/>
      <family val="2"/>
      <scheme val="minor"/>
    </font>
    <font>
      <sz val="11"/>
      <color theme="8"/>
      <name val="Calibri"/>
      <family val="2"/>
      <scheme val="minor"/>
    </font>
    <font>
      <b/>
      <sz val="18"/>
      <color rgb="FF00B050"/>
      <name val="Calibri"/>
      <family val="2"/>
      <scheme val="minor"/>
    </font>
    <font>
      <sz val="11"/>
      <color rgb="FF00B050"/>
      <name val="Calibri"/>
      <family val="2"/>
      <scheme val="minor"/>
    </font>
    <font>
      <b/>
      <sz val="14"/>
      <color rgb="FF00B050"/>
      <name val="Calibri"/>
      <family val="2"/>
      <scheme val="minor"/>
    </font>
    <font>
      <sz val="14"/>
      <color rgb="FF00B050"/>
      <name val="Calibri"/>
      <family val="2"/>
      <scheme val="minor"/>
    </font>
    <font>
      <b/>
      <sz val="16"/>
      <color rgb="FF00B050"/>
      <name val="Calibri"/>
      <family val="2"/>
      <scheme val="minor"/>
    </font>
    <font>
      <b/>
      <sz val="18"/>
      <color rgb="FF238D28"/>
      <name val="Calibri"/>
      <family val="2"/>
      <scheme val="minor"/>
    </font>
    <font>
      <b/>
      <sz val="18"/>
      <color theme="5" tint="-0.249977111117893"/>
      <name val="Calibri"/>
      <family val="2"/>
      <scheme val="minor"/>
    </font>
    <font>
      <b/>
      <sz val="16"/>
      <color theme="5"/>
      <name val="Calibri"/>
      <family val="2"/>
      <scheme val="minor"/>
    </font>
    <font>
      <b/>
      <sz val="18"/>
      <color theme="5"/>
      <name val="Calibri"/>
      <family val="2"/>
      <scheme val="minor"/>
    </font>
    <font>
      <b/>
      <sz val="14"/>
      <color theme="5"/>
      <name val="Calibri"/>
      <family val="2"/>
      <scheme val="minor"/>
    </font>
    <font>
      <sz val="14"/>
      <color theme="5"/>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D9E1F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95">
    <border>
      <left/>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14996795556505021"/>
      </left>
      <right/>
      <top style="thin">
        <color theme="0" tint="-0.14996795556505021"/>
      </top>
      <bottom style="thin">
        <color theme="0" tint="-0.14996795556505021"/>
      </bottom>
      <diagonal/>
    </border>
    <border>
      <left style="mediumDashed">
        <color rgb="FFCC0099"/>
      </left>
      <right style="mediumDashed">
        <color rgb="FFCC0099"/>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top/>
      <bottom/>
      <diagonal/>
    </border>
    <border>
      <left/>
      <right style="medium">
        <color rgb="FFFF000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rgb="FFFF0000"/>
      </left>
      <right style="medium">
        <color rgb="FFFF0000"/>
      </right>
      <top style="thin">
        <color rgb="FFBFBFBF"/>
      </top>
      <bottom/>
      <diagonal/>
    </border>
    <border>
      <left style="medium">
        <color theme="8"/>
      </left>
      <right style="medium">
        <color theme="8"/>
      </right>
      <top/>
      <bottom/>
      <diagonal/>
    </border>
    <border>
      <left style="medium">
        <color theme="8"/>
      </left>
      <right style="medium">
        <color theme="8"/>
      </right>
      <top style="thin">
        <color rgb="FFBFBFBF"/>
      </top>
      <bottom/>
      <diagonal/>
    </border>
    <border>
      <left style="mediumDashed">
        <color rgb="FFCC0099"/>
      </left>
      <right style="mediumDashed">
        <color rgb="FFCC0099"/>
      </right>
      <top style="thin">
        <color rgb="FFBFBFBF"/>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theme="0" tint="-0.14996795556505021"/>
      </left>
      <right/>
      <top/>
      <bottom/>
      <diagonal/>
    </border>
    <border>
      <left/>
      <right style="thin">
        <color theme="0" tint="-0.14996795556505021"/>
      </right>
      <top style="thin">
        <color theme="0" tint="-0.14996795556505021"/>
      </top>
      <bottom style="thin">
        <color theme="0" tint="-0.14996795556505021"/>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medium">
        <color rgb="FF00B050"/>
      </left>
      <right style="medium">
        <color rgb="FF00B050"/>
      </right>
      <top style="medium">
        <color rgb="FF00B050"/>
      </top>
      <bottom style="medium">
        <color rgb="FF00B050"/>
      </bottom>
      <diagonal/>
    </border>
    <border>
      <left style="mediumDashed">
        <color rgb="FFCC0099"/>
      </left>
      <right style="mediumDashed">
        <color rgb="FFCC0099"/>
      </right>
      <top style="thin">
        <color rgb="FFBFBFBF"/>
      </top>
      <bottom style="thin">
        <color theme="0" tint="-0.14996795556505021"/>
      </bottom>
      <diagonal/>
    </border>
    <border>
      <left style="medium">
        <color theme="8"/>
      </left>
      <right style="medium">
        <color theme="8"/>
      </right>
      <top style="thin">
        <color rgb="FFBFBFBF"/>
      </top>
      <bottom style="thin">
        <color theme="0" tint="-0.14996795556505021"/>
      </bottom>
      <diagonal/>
    </border>
    <border>
      <left style="medium">
        <color theme="8"/>
      </left>
      <right style="medium">
        <color theme="8"/>
      </right>
      <top style="thin">
        <color theme="0" tint="-0.14996795556505021"/>
      </top>
      <bottom style="thin">
        <color theme="0" tint="-0.14996795556505021"/>
      </bottom>
      <diagonal/>
    </border>
    <border>
      <left style="thin">
        <color rgb="FF00B050"/>
      </left>
      <right/>
      <top/>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top style="mediumDashed">
        <color rgb="FF00B050"/>
      </top>
      <bottom/>
      <diagonal/>
    </border>
    <border>
      <left style="mediumDashed">
        <color rgb="FFCC0099"/>
      </left>
      <right style="mediumDashed">
        <color rgb="FFCC0099"/>
      </right>
      <top style="mediumDashed">
        <color rgb="FF00B050"/>
      </top>
      <bottom/>
      <diagonal/>
    </border>
    <border>
      <left style="medium">
        <color theme="8"/>
      </left>
      <right style="medium">
        <color theme="8"/>
      </right>
      <top style="mediumDashed">
        <color rgb="FF00B050"/>
      </top>
      <bottom/>
      <diagonal/>
    </border>
    <border>
      <left style="medium">
        <color rgb="FFFF0000"/>
      </left>
      <right style="medium">
        <color rgb="FFFF0000"/>
      </right>
      <top style="mediumDashed">
        <color rgb="FF00B050"/>
      </top>
      <bottom/>
      <diagonal/>
    </border>
    <border>
      <left/>
      <right/>
      <top/>
      <bottom style="mediumDashed">
        <color rgb="FF00B050"/>
      </bottom>
      <diagonal/>
    </border>
    <border>
      <left style="mediumDashed">
        <color rgb="FFCC0099"/>
      </left>
      <right style="mediumDashed">
        <color rgb="FFCC0099"/>
      </right>
      <top/>
      <bottom style="mediumDashed">
        <color rgb="FF00B050"/>
      </bottom>
      <diagonal/>
    </border>
    <border>
      <left style="medium">
        <color theme="8"/>
      </left>
      <right style="medium">
        <color theme="8"/>
      </right>
      <top/>
      <bottom style="mediumDashed">
        <color rgb="FF00B050"/>
      </bottom>
      <diagonal/>
    </border>
    <border>
      <left style="medium">
        <color rgb="FFFF0000"/>
      </left>
      <right style="medium">
        <color rgb="FFFF0000"/>
      </right>
      <top/>
      <bottom style="mediumDashed">
        <color rgb="FF00B050"/>
      </bottom>
      <diagonal/>
    </border>
    <border>
      <left style="medium">
        <color theme="8"/>
      </left>
      <right style="medium">
        <color theme="8"/>
      </right>
      <top/>
      <bottom style="thin">
        <color theme="0" tint="-0.14996795556505021"/>
      </bottom>
      <diagonal/>
    </border>
    <border>
      <left style="medium">
        <color theme="8"/>
      </left>
      <right style="medium">
        <color theme="8"/>
      </right>
      <top style="thin">
        <color theme="0" tint="-0.14996795556505021"/>
      </top>
      <bottom style="mediumDashed">
        <color rgb="FF00B05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8" fillId="3" borderId="0" applyNumberFormat="0" applyBorder="0" applyAlignment="0" applyProtection="0"/>
    <xf numFmtId="0" fontId="9" fillId="4" borderId="0" applyNumberFormat="0" applyBorder="0" applyAlignment="0" applyProtection="0"/>
    <xf numFmtId="0" fontId="31" fillId="0" borderId="0" applyNumberFormat="0" applyFill="0" applyBorder="0" applyAlignment="0" applyProtection="0"/>
  </cellStyleXfs>
  <cellXfs count="487">
    <xf numFmtId="0" fontId="0" fillId="0" borderId="0" xfId="0"/>
    <xf numFmtId="0" fontId="0" fillId="0" borderId="0" xfId="0" applyAlignment="1">
      <alignment vertical="top"/>
    </xf>
    <xf numFmtId="0" fontId="2" fillId="0" borderId="0" xfId="0" applyFont="1"/>
    <xf numFmtId="44" fontId="0" fillId="2" borderId="0" xfId="0" applyNumberFormat="1" applyFill="1"/>
    <xf numFmtId="0" fontId="0" fillId="0" borderId="0" xfId="0" applyAlignment="1">
      <alignment horizontal="center"/>
    </xf>
    <xf numFmtId="0" fontId="0" fillId="0" borderId="0" xfId="0" applyAlignment="1">
      <alignment wrapText="1"/>
    </xf>
    <xf numFmtId="164" fontId="0" fillId="2" borderId="0" xfId="1" applyNumberFormat="1" applyFont="1" applyFill="1"/>
    <xf numFmtId="0" fontId="4" fillId="0" borderId="0" xfId="0" applyFont="1"/>
    <xf numFmtId="0" fontId="0" fillId="0" borderId="0" xfId="0" quotePrefix="1"/>
    <xf numFmtId="164" fontId="0" fillId="2" borderId="0" xfId="0" applyNumberFormat="1" applyFill="1"/>
    <xf numFmtId="0" fontId="0" fillId="0" borderId="0" xfId="0" quotePrefix="1" applyAlignment="1">
      <alignment horizontal="center"/>
    </xf>
    <xf numFmtId="43" fontId="0" fillId="2" borderId="0" xfId="0" applyNumberFormat="1" applyFill="1"/>
    <xf numFmtId="0" fontId="0" fillId="0" borderId="0" xfId="0" applyAlignment="1">
      <alignment horizontal="right"/>
    </xf>
    <xf numFmtId="0" fontId="0" fillId="0" borderId="1" xfId="0" applyBorder="1" applyAlignment="1">
      <alignment vertical="top"/>
    </xf>
    <xf numFmtId="0" fontId="0" fillId="0" borderId="1" xfId="0" applyBorder="1"/>
    <xf numFmtId="0" fontId="0" fillId="0" borderId="1" xfId="0" applyBorder="1" applyAlignment="1">
      <alignment horizontal="center"/>
    </xf>
    <xf numFmtId="0" fontId="5" fillId="0" borderId="0" xfId="0" applyFont="1"/>
    <xf numFmtId="0" fontId="5" fillId="0" borderId="0" xfId="0" applyFont="1" applyAlignment="1">
      <alignment horizontal="center"/>
    </xf>
    <xf numFmtId="0" fontId="0" fillId="0" borderId="0" xfId="0" applyAlignment="1">
      <alignment vertical="top" wrapText="1"/>
    </xf>
    <xf numFmtId="9" fontId="0" fillId="2" borderId="0" xfId="3" applyFont="1" applyFill="1"/>
    <xf numFmtId="0" fontId="3" fillId="0" borderId="0" xfId="0" applyFont="1" applyAlignment="1">
      <alignment horizontal="left" vertical="center" wrapText="1"/>
    </xf>
    <xf numFmtId="0" fontId="0" fillId="0" borderId="0" xfId="0" applyAlignment="1">
      <alignment horizontal="left" vertical="center"/>
    </xf>
    <xf numFmtId="0" fontId="0" fillId="2" borderId="0" xfId="0" applyFill="1"/>
    <xf numFmtId="0" fontId="0" fillId="0" borderId="2" xfId="0" applyBorder="1" applyAlignment="1">
      <alignment horizontal="center"/>
    </xf>
    <xf numFmtId="0" fontId="0" fillId="0" borderId="2" xfId="0" applyBorder="1"/>
    <xf numFmtId="0" fontId="0" fillId="0" borderId="2" xfId="0" applyBorder="1" applyAlignment="1">
      <alignment vertical="top"/>
    </xf>
    <xf numFmtId="0" fontId="4" fillId="0" borderId="1" xfId="0" applyFont="1" applyBorder="1" applyAlignment="1">
      <alignment wrapText="1"/>
    </xf>
    <xf numFmtId="0" fontId="4" fillId="0" borderId="2" xfId="0" applyFont="1" applyBorder="1" applyAlignment="1">
      <alignment wrapText="1"/>
    </xf>
    <xf numFmtId="0" fontId="4" fillId="0" borderId="0" xfId="0" applyFont="1" applyAlignment="1">
      <alignment wrapText="1"/>
    </xf>
    <xf numFmtId="44" fontId="0" fillId="2" borderId="0" xfId="2" applyFont="1" applyFill="1" applyBorder="1"/>
    <xf numFmtId="0" fontId="2" fillId="0" borderId="2" xfId="0" applyFont="1" applyBorder="1" applyAlignment="1">
      <alignment horizontal="center" vertical="top"/>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1" xfId="0" applyFont="1" applyBorder="1" applyAlignment="1">
      <alignment horizontal="center"/>
    </xf>
    <xf numFmtId="0" fontId="2" fillId="0" borderId="9" xfId="0" applyFont="1" applyBorder="1" applyAlignment="1">
      <alignment horizontal="center" vertical="top"/>
    </xf>
    <xf numFmtId="0" fontId="2" fillId="0" borderId="0" xfId="0" applyFont="1" applyAlignment="1">
      <alignment horizontal="center" vertical="top" wrapText="1"/>
    </xf>
    <xf numFmtId="0" fontId="0" fillId="0" borderId="9" xfId="0" applyBorder="1" applyAlignment="1">
      <alignment horizontal="center"/>
    </xf>
    <xf numFmtId="0" fontId="12" fillId="0" borderId="0" xfId="0" applyFont="1"/>
    <xf numFmtId="0" fontId="4" fillId="0" borderId="0" xfId="0" applyFont="1" applyAlignment="1">
      <alignment horizontal="right"/>
    </xf>
    <xf numFmtId="0" fontId="14" fillId="0" borderId="0" xfId="0" applyFont="1"/>
    <xf numFmtId="0" fontId="15" fillId="0" borderId="0" xfId="0" applyFont="1"/>
    <xf numFmtId="0" fontId="16" fillId="0" borderId="0" xfId="0" applyFont="1"/>
    <xf numFmtId="0" fontId="17" fillId="0" borderId="0" xfId="0" applyFont="1"/>
    <xf numFmtId="0" fontId="17" fillId="0" borderId="0" xfId="0" applyFont="1" applyAlignment="1">
      <alignment vertical="top"/>
    </xf>
    <xf numFmtId="0" fontId="17" fillId="0" borderId="0" xfId="0" applyFont="1" applyAlignment="1">
      <alignment horizontal="center"/>
    </xf>
    <xf numFmtId="0" fontId="18" fillId="0" borderId="0" xfId="0" applyFont="1"/>
    <xf numFmtId="0" fontId="19" fillId="0" borderId="0" xfId="0" applyFont="1"/>
    <xf numFmtId="0" fontId="20" fillId="0" borderId="0" xfId="0" applyFont="1"/>
    <xf numFmtId="0" fontId="21" fillId="0" borderId="0" xfId="0" applyFont="1"/>
    <xf numFmtId="0" fontId="4" fillId="0" borderId="0" xfId="0" applyFont="1" applyAlignment="1">
      <alignment horizontal="left" vertical="top"/>
    </xf>
    <xf numFmtId="0" fontId="2" fillId="0" borderId="0" xfId="0" applyFont="1" applyAlignment="1">
      <alignment horizontal="center"/>
    </xf>
    <xf numFmtId="0" fontId="22" fillId="0" borderId="0" xfId="0" applyFont="1"/>
    <xf numFmtId="0" fontId="10" fillId="3" borderId="0" xfId="5" applyFont="1" applyAlignment="1">
      <alignment horizontal="center" vertical="top" wrapText="1"/>
    </xf>
    <xf numFmtId="0" fontId="11" fillId="4" borderId="0" xfId="6" applyFont="1" applyAlignment="1">
      <alignment horizontal="center" vertical="top" wrapText="1"/>
    </xf>
    <xf numFmtId="0" fontId="2" fillId="0" borderId="7" xfId="0" applyFont="1" applyBorder="1" applyAlignment="1">
      <alignment horizontal="center" vertical="top" wrapText="1"/>
    </xf>
    <xf numFmtId="0" fontId="0" fillId="0" borderId="0" xfId="0" applyAlignment="1">
      <alignment horizontal="left" vertical="top"/>
    </xf>
    <xf numFmtId="0" fontId="15" fillId="0" borderId="0" xfId="0" applyFont="1" applyAlignment="1">
      <alignment vertical="top"/>
    </xf>
    <xf numFmtId="0" fontId="19" fillId="0" borderId="0" xfId="0" applyFont="1" applyAlignment="1">
      <alignment vertical="top"/>
    </xf>
    <xf numFmtId="0" fontId="0" fillId="0" borderId="0" xfId="0" applyAlignment="1">
      <alignment horizontal="left" vertical="top" indent="1"/>
    </xf>
    <xf numFmtId="0" fontId="4" fillId="0" borderId="0" xfId="0" applyFont="1" applyAlignment="1">
      <alignment vertical="top"/>
    </xf>
    <xf numFmtId="2" fontId="0" fillId="0" borderId="1" xfId="0" applyNumberFormat="1" applyBorder="1"/>
    <xf numFmtId="2" fontId="0" fillId="2" borderId="0" xfId="0" applyNumberFormat="1" applyFill="1"/>
    <xf numFmtId="0" fontId="25" fillId="0" borderId="0" xfId="0" applyFont="1"/>
    <xf numFmtId="0" fontId="26" fillId="0" borderId="0" xfId="0" applyFont="1"/>
    <xf numFmtId="0" fontId="26" fillId="0" borderId="0" xfId="0" applyFont="1" applyAlignment="1">
      <alignment vertical="top"/>
    </xf>
    <xf numFmtId="0" fontId="26" fillId="0" borderId="0" xfId="0" applyFont="1" applyAlignment="1">
      <alignment horizontal="center"/>
    </xf>
    <xf numFmtId="0" fontId="3" fillId="0" borderId="0" xfId="0" applyFont="1" applyAlignment="1">
      <alignment horizontal="right"/>
    </xf>
    <xf numFmtId="0" fontId="4" fillId="0" borderId="0" xfId="0" applyFont="1" applyAlignment="1">
      <alignment vertical="center" wrapText="1"/>
    </xf>
    <xf numFmtId="0" fontId="27" fillId="0" borderId="0" xfId="0" applyFont="1" applyAlignment="1">
      <alignment horizontal="center" vertical="center"/>
    </xf>
    <xf numFmtId="0" fontId="28" fillId="0" borderId="0" xfId="0" applyFont="1"/>
    <xf numFmtId="0" fontId="29" fillId="0" borderId="0" xfId="0" applyFont="1" applyAlignment="1">
      <alignment horizontal="center"/>
    </xf>
    <xf numFmtId="0" fontId="29" fillId="0" borderId="0" xfId="0" applyFont="1"/>
    <xf numFmtId="0" fontId="27" fillId="0" borderId="0" xfId="0" applyFont="1" applyAlignment="1">
      <alignment horizontal="left" vertical="center"/>
    </xf>
    <xf numFmtId="0" fontId="27" fillId="0" borderId="0" xfId="0" applyFont="1" applyAlignment="1">
      <alignment horizontal="right" vertical="center"/>
    </xf>
    <xf numFmtId="44" fontId="5" fillId="2" borderId="0" xfId="2" applyFont="1" applyFill="1" applyBorder="1"/>
    <xf numFmtId="0" fontId="0" fillId="0" borderId="0" xfId="0" applyAlignment="1">
      <alignment vertical="center"/>
    </xf>
    <xf numFmtId="0" fontId="0" fillId="0" borderId="0" xfId="0" applyAlignment="1">
      <alignment horizontal="center" vertical="top"/>
    </xf>
    <xf numFmtId="0" fontId="32" fillId="0" borderId="0" xfId="0" applyFont="1"/>
    <xf numFmtId="0" fontId="32" fillId="0" borderId="0" xfId="0" applyFont="1" applyAlignment="1">
      <alignment vertical="top"/>
    </xf>
    <xf numFmtId="164" fontId="7" fillId="2" borderId="15" xfId="1" applyNumberFormat="1" applyFont="1" applyFill="1" applyBorder="1" applyAlignment="1" applyProtection="1">
      <alignment horizontal="center" vertical="center"/>
    </xf>
    <xf numFmtId="165" fontId="0" fillId="2" borderId="15" xfId="3" applyNumberFormat="1" applyFont="1" applyFill="1" applyBorder="1"/>
    <xf numFmtId="43" fontId="0" fillId="2" borderId="0" xfId="1" applyFont="1" applyFill="1"/>
    <xf numFmtId="9" fontId="0" fillId="2" borderId="0" xfId="3" applyFont="1" applyFill="1" applyAlignment="1">
      <alignment vertical="top"/>
    </xf>
    <xf numFmtId="165" fontId="7" fillId="2" borderId="15" xfId="3" applyNumberFormat="1" applyFont="1" applyFill="1" applyBorder="1" applyAlignment="1" applyProtection="1">
      <alignment horizontal="right" vertical="center"/>
    </xf>
    <xf numFmtId="9" fontId="0" fillId="2" borderId="0" xfId="3" applyFont="1" applyFill="1" applyBorder="1"/>
    <xf numFmtId="2" fontId="0" fillId="2" borderId="0" xfId="0" applyNumberFormat="1" applyFill="1" applyAlignment="1">
      <alignment horizontal="center"/>
    </xf>
    <xf numFmtId="164" fontId="0" fillId="2" borderId="15" xfId="0" applyNumberFormat="1" applyFill="1" applyBorder="1"/>
    <xf numFmtId="164" fontId="0" fillId="2" borderId="14" xfId="1" applyNumberFormat="1" applyFont="1" applyFill="1" applyBorder="1" applyProtection="1"/>
    <xf numFmtId="164" fontId="0" fillId="0" borderId="14" xfId="1" applyNumberFormat="1" applyFont="1" applyBorder="1" applyProtection="1"/>
    <xf numFmtId="164" fontId="7" fillId="2" borderId="14" xfId="1" applyNumberFormat="1" applyFont="1" applyFill="1" applyBorder="1" applyProtection="1"/>
    <xf numFmtId="44" fontId="0" fillId="2" borderId="14" xfId="2" applyFont="1" applyFill="1" applyBorder="1" applyAlignment="1" applyProtection="1">
      <alignment vertical="top"/>
    </xf>
    <xf numFmtId="169" fontId="0" fillId="2" borderId="14" xfId="2" applyNumberFormat="1" applyFont="1" applyFill="1" applyBorder="1" applyAlignment="1" applyProtection="1">
      <alignment vertical="top"/>
    </xf>
    <xf numFmtId="0" fontId="0" fillId="9" borderId="0" xfId="0" applyFill="1"/>
    <xf numFmtId="0" fontId="0" fillId="2" borderId="15" xfId="0" applyFill="1" applyBorder="1"/>
    <xf numFmtId="0" fontId="30" fillId="0" borderId="0" xfId="0" applyFont="1"/>
    <xf numFmtId="0" fontId="2" fillId="0" borderId="1" xfId="0" applyFont="1" applyBorder="1" applyAlignment="1">
      <alignment vertical="center" wrapText="1"/>
    </xf>
    <xf numFmtId="0" fontId="0" fillId="0" borderId="21" xfId="0" applyBorder="1" applyAlignment="1">
      <alignment horizontal="center"/>
    </xf>
    <xf numFmtId="0" fontId="2" fillId="0" borderId="21" xfId="0" applyFont="1" applyBorder="1" applyAlignment="1">
      <alignment vertical="center" wrapText="1"/>
    </xf>
    <xf numFmtId="9" fontId="0" fillId="2" borderId="21" xfId="0" applyNumberFormat="1" applyFill="1" applyBorder="1"/>
    <xf numFmtId="44" fontId="0" fillId="2" borderId="20" xfId="0" applyNumberFormat="1" applyFill="1" applyBorder="1"/>
    <xf numFmtId="0" fontId="0" fillId="0" borderId="2" xfId="0" applyBorder="1" applyAlignment="1">
      <alignment horizontal="left" vertical="center"/>
    </xf>
    <xf numFmtId="0" fontId="0" fillId="0" borderId="1" xfId="0" applyBorder="1" applyAlignment="1">
      <alignment horizontal="left" vertical="center"/>
    </xf>
    <xf numFmtId="44" fontId="0" fillId="2" borderId="3" xfId="0" applyNumberFormat="1" applyFill="1" applyBorder="1"/>
    <xf numFmtId="164" fontId="0" fillId="2" borderId="15" xfId="1" applyNumberFormat="1" applyFont="1" applyFill="1" applyBorder="1"/>
    <xf numFmtId="0" fontId="0" fillId="0" borderId="10" xfId="0" applyBorder="1"/>
    <xf numFmtId="0" fontId="0" fillId="0" borderId="11" xfId="0" applyBorder="1"/>
    <xf numFmtId="164" fontId="0" fillId="2" borderId="0" xfId="1" applyNumberFormat="1" applyFont="1" applyFill="1" applyBorder="1"/>
    <xf numFmtId="9" fontId="0" fillId="2" borderId="0" xfId="0" applyNumberFormat="1" applyFill="1"/>
    <xf numFmtId="0" fontId="2" fillId="0" borderId="0" xfId="0" applyFont="1" applyAlignment="1">
      <alignment vertical="center"/>
    </xf>
    <xf numFmtId="0" fontId="2" fillId="0" borderId="1" xfId="0" applyFont="1" applyBorder="1" applyAlignment="1">
      <alignment vertical="center"/>
    </xf>
    <xf numFmtId="0" fontId="0" fillId="0" borderId="12" xfId="0" applyBorder="1" applyAlignment="1">
      <alignment horizontal="right"/>
    </xf>
    <xf numFmtId="0" fontId="2" fillId="0" borderId="0" xfId="0" applyFont="1" applyAlignment="1">
      <alignment horizontal="right" vertical="center" wrapText="1"/>
    </xf>
    <xf numFmtId="170" fontId="0" fillId="2" borderId="0" xfId="3" applyNumberFormat="1" applyFont="1" applyFill="1" applyAlignment="1">
      <alignment vertical="top"/>
    </xf>
    <xf numFmtId="44" fontId="7" fillId="2" borderId="15" xfId="2" applyFont="1" applyFill="1" applyBorder="1" applyAlignment="1" applyProtection="1">
      <alignment horizontal="center" vertical="center"/>
    </xf>
    <xf numFmtId="0" fontId="31" fillId="0" borderId="0" xfId="7" applyAlignment="1">
      <alignment vertical="top"/>
    </xf>
    <xf numFmtId="44" fontId="0" fillId="0" borderId="0" xfId="0" applyNumberFormat="1"/>
    <xf numFmtId="170" fontId="0" fillId="8" borderId="12" xfId="3" applyNumberFormat="1" applyFont="1" applyFill="1" applyBorder="1" applyAlignment="1" applyProtection="1">
      <alignment horizontal="center" vertical="center" wrapText="1"/>
    </xf>
    <xf numFmtId="167" fontId="0" fillId="6" borderId="9" xfId="1" applyNumberFormat="1" applyFont="1" applyFill="1" applyBorder="1" applyAlignment="1" applyProtection="1">
      <alignment horizontal="center" vertical="center" wrapText="1"/>
    </xf>
    <xf numFmtId="167" fontId="0" fillId="6" borderId="1" xfId="1" applyNumberFormat="1" applyFont="1" applyFill="1" applyBorder="1" applyAlignment="1" applyProtection="1">
      <alignment horizontal="center" vertical="center" wrapText="1"/>
    </xf>
    <xf numFmtId="168" fontId="0" fillId="6" borderId="9" xfId="1" applyNumberFormat="1" applyFont="1" applyFill="1" applyBorder="1" applyAlignment="1" applyProtection="1">
      <alignment horizontal="center" vertical="center" wrapText="1"/>
    </xf>
    <xf numFmtId="10" fontId="0" fillId="8" borderId="12" xfId="3" applyNumberFormat="1"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center"/>
    </xf>
    <xf numFmtId="44" fontId="0" fillId="11" borderId="3" xfId="2" applyFont="1" applyFill="1" applyBorder="1" applyAlignment="1">
      <alignment vertical="center"/>
    </xf>
    <xf numFmtId="165" fontId="0" fillId="0" borderId="0" xfId="3" applyNumberFormat="1" applyFont="1"/>
    <xf numFmtId="171" fontId="0" fillId="2" borderId="14" xfId="2" applyNumberFormat="1" applyFont="1" applyFill="1" applyBorder="1" applyAlignment="1" applyProtection="1">
      <alignment vertical="top"/>
    </xf>
    <xf numFmtId="0" fontId="2" fillId="0" borderId="0" xfId="0" applyFont="1" applyBorder="1" applyAlignment="1">
      <alignment horizontal="center" vertical="top"/>
    </xf>
    <xf numFmtId="0" fontId="0" fillId="0" borderId="0" xfId="0" applyBorder="1" applyAlignment="1">
      <alignment vertical="top"/>
    </xf>
    <xf numFmtId="0" fontId="0" fillId="0" borderId="0" xfId="0" applyBorder="1"/>
    <xf numFmtId="0" fontId="0" fillId="0" borderId="0" xfId="0" applyBorder="1" applyAlignment="1">
      <alignment horizontal="center"/>
    </xf>
    <xf numFmtId="43" fontId="0" fillId="2" borderId="0" xfId="1" applyNumberFormat="1" applyFont="1" applyFill="1"/>
    <xf numFmtId="0" fontId="0" fillId="0" borderId="0" xfId="0" applyAlignment="1"/>
    <xf numFmtId="0" fontId="2" fillId="0" borderId="8" xfId="0" applyFont="1" applyBorder="1" applyAlignment="1">
      <alignment vertical="center" wrapText="1"/>
    </xf>
    <xf numFmtId="0" fontId="4" fillId="0" borderId="2" xfId="0" applyFont="1" applyBorder="1"/>
    <xf numFmtId="164" fontId="0" fillId="9" borderId="24" xfId="1" applyNumberFormat="1" applyFont="1" applyFill="1" applyBorder="1" applyProtection="1">
      <protection locked="0"/>
    </xf>
    <xf numFmtId="164" fontId="0" fillId="2" borderId="23" xfId="1" applyNumberFormat="1" applyFont="1" applyFill="1" applyBorder="1" applyProtection="1"/>
    <xf numFmtId="164" fontId="0" fillId="9" borderId="25" xfId="1" applyNumberFormat="1" applyFont="1" applyFill="1" applyBorder="1" applyProtection="1">
      <protection locked="0"/>
    </xf>
    <xf numFmtId="43" fontId="0" fillId="2" borderId="0" xfId="3" applyNumberFormat="1" applyFont="1" applyFill="1"/>
    <xf numFmtId="44" fontId="0" fillId="2" borderId="16" xfId="2" applyFont="1" applyFill="1" applyBorder="1" applyAlignment="1" applyProtection="1">
      <alignment vertical="top"/>
    </xf>
    <xf numFmtId="44" fontId="0" fillId="2" borderId="0" xfId="0" applyNumberFormat="1" applyFill="1" applyAlignment="1">
      <alignment horizontal="center"/>
    </xf>
    <xf numFmtId="10" fontId="0" fillId="2" borderId="0" xfId="3" applyNumberFormat="1" applyFont="1" applyFill="1"/>
    <xf numFmtId="0" fontId="0" fillId="0" borderId="0" xfId="0" applyAlignment="1">
      <alignment horizontal="center"/>
    </xf>
    <xf numFmtId="0" fontId="15" fillId="0" borderId="0" xfId="0" applyFont="1" applyAlignment="1"/>
    <xf numFmtId="0" fontId="19" fillId="0" borderId="0" xfId="0" applyFont="1" applyAlignment="1"/>
    <xf numFmtId="0" fontId="0" fillId="0" borderId="0" xfId="0" applyAlignment="1">
      <alignment horizontal="right" vertical="top" wrapText="1"/>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43" fontId="0" fillId="2" borderId="0" xfId="1" applyNumberFormat="1" applyFont="1" applyFill="1" applyBorder="1"/>
    <xf numFmtId="0" fontId="2" fillId="0" borderId="9" xfId="0" applyFont="1" applyBorder="1" applyAlignment="1">
      <alignment vertical="center"/>
    </xf>
    <xf numFmtId="0" fontId="0" fillId="0" borderId="1" xfId="0" applyBorder="1" applyAlignment="1">
      <alignment horizontal="right"/>
    </xf>
    <xf numFmtId="0" fontId="4" fillId="0" borderId="1" xfId="0" applyFont="1" applyBorder="1" applyAlignment="1">
      <alignment horizontal="right"/>
    </xf>
    <xf numFmtId="44" fontId="0" fillId="2" borderId="14" xfId="2" applyNumberFormat="1" applyFont="1" applyFill="1" applyBorder="1" applyAlignment="1" applyProtection="1">
      <alignment vertical="top"/>
    </xf>
    <xf numFmtId="0" fontId="4" fillId="0" borderId="0" xfId="0" applyFont="1" applyBorder="1" applyAlignment="1">
      <alignment wrapText="1"/>
    </xf>
    <xf numFmtId="0" fontId="0" fillId="0" borderId="0" xfId="0" applyFont="1" applyBorder="1" applyAlignment="1">
      <alignment horizontal="center"/>
    </xf>
    <xf numFmtId="0" fontId="2" fillId="0" borderId="9" xfId="0" applyFont="1" applyBorder="1" applyAlignment="1">
      <alignment horizontal="center" vertical="center"/>
    </xf>
    <xf numFmtId="0" fontId="2" fillId="11" borderId="32" xfId="0" applyFont="1" applyFill="1" applyBorder="1" applyAlignment="1">
      <alignment vertical="center"/>
    </xf>
    <xf numFmtId="0" fontId="2" fillId="11" borderId="3" xfId="0" applyFont="1" applyFill="1" applyBorder="1" applyAlignment="1">
      <alignment vertical="center"/>
    </xf>
    <xf numFmtId="44" fontId="1" fillId="11" borderId="3" xfId="2" applyFont="1" applyFill="1" applyBorder="1" applyAlignment="1">
      <alignment horizontal="center" vertical="center"/>
    </xf>
    <xf numFmtId="44" fontId="2" fillId="8" borderId="37" xfId="2" applyFont="1" applyFill="1" applyBorder="1" applyAlignment="1">
      <alignment vertical="center"/>
    </xf>
    <xf numFmtId="0" fontId="2" fillId="12" borderId="32" xfId="0" applyFont="1" applyFill="1" applyBorder="1" applyAlignment="1">
      <alignment vertical="center"/>
    </xf>
    <xf numFmtId="44" fontId="1" fillId="12" borderId="32" xfId="2" applyFont="1" applyFill="1" applyBorder="1" applyAlignment="1">
      <alignment horizontal="center" vertical="center"/>
    </xf>
    <xf numFmtId="0" fontId="2" fillId="12" borderId="3" xfId="0" applyFont="1" applyFill="1" applyBorder="1" applyAlignment="1">
      <alignment vertical="center"/>
    </xf>
    <xf numFmtId="44" fontId="0" fillId="12" borderId="3" xfId="2" applyFont="1" applyFill="1" applyBorder="1" applyAlignment="1">
      <alignment vertical="center"/>
    </xf>
    <xf numFmtId="0" fontId="2" fillId="14" borderId="32" xfId="0" applyFont="1" applyFill="1" applyBorder="1" applyAlignment="1">
      <alignment vertical="center"/>
    </xf>
    <xf numFmtId="44" fontId="0" fillId="14" borderId="32" xfId="2" applyFont="1" applyFill="1" applyBorder="1" applyAlignment="1">
      <alignment vertical="center"/>
    </xf>
    <xf numFmtId="44" fontId="1" fillId="14" borderId="33" xfId="2" applyFont="1" applyFill="1" applyBorder="1" applyAlignment="1">
      <alignment horizontal="center" vertical="center"/>
    </xf>
    <xf numFmtId="44" fontId="2" fillId="13" borderId="37" xfId="2" applyFont="1" applyFill="1" applyBorder="1" applyAlignment="1">
      <alignment horizontal="center" vertical="center"/>
    </xf>
    <xf numFmtId="44" fontId="2" fillId="15" borderId="38" xfId="2" applyFont="1" applyFill="1" applyBorder="1" applyAlignment="1">
      <alignment vertical="center"/>
    </xf>
    <xf numFmtId="44" fontId="0" fillId="11" borderId="6" xfId="2" applyFont="1" applyFill="1" applyBorder="1" applyAlignment="1">
      <alignment vertical="center"/>
    </xf>
    <xf numFmtId="0" fontId="43" fillId="16" borderId="36" xfId="0" applyFont="1" applyFill="1" applyBorder="1" applyAlignment="1">
      <alignment horizontal="center"/>
    </xf>
    <xf numFmtId="0" fontId="43" fillId="16" borderId="37" xfId="0" applyFont="1" applyFill="1" applyBorder="1" applyAlignment="1">
      <alignment horizontal="center"/>
    </xf>
    <xf numFmtId="44" fontId="2" fillId="16" borderId="30" xfId="0" applyNumberFormat="1" applyFont="1" applyFill="1" applyBorder="1"/>
    <xf numFmtId="0" fontId="0" fillId="0" borderId="49" xfId="0" applyBorder="1" applyAlignment="1">
      <alignment horizontal="center"/>
    </xf>
    <xf numFmtId="0" fontId="0" fillId="11" borderId="6" xfId="0" applyFont="1" applyFill="1" applyBorder="1" applyAlignment="1">
      <alignment vertical="center"/>
    </xf>
    <xf numFmtId="0" fontId="0" fillId="11" borderId="3" xfId="0" applyFont="1" applyFill="1" applyBorder="1" applyAlignment="1">
      <alignment vertical="center"/>
    </xf>
    <xf numFmtId="0" fontId="0" fillId="12" borderId="32" xfId="0" applyFont="1" applyFill="1" applyBorder="1" applyAlignment="1">
      <alignment vertical="center"/>
    </xf>
    <xf numFmtId="0" fontId="0" fillId="14" borderId="32" xfId="0" applyFont="1" applyFill="1" applyBorder="1" applyAlignment="1">
      <alignment vertical="center"/>
    </xf>
    <xf numFmtId="164" fontId="0" fillId="11" borderId="6" xfId="0" applyNumberFormat="1" applyFont="1" applyFill="1" applyBorder="1" applyAlignment="1">
      <alignment vertical="center"/>
    </xf>
    <xf numFmtId="44" fontId="0" fillId="11" borderId="3" xfId="0" applyNumberFormat="1" applyFont="1" applyFill="1" applyBorder="1" applyAlignment="1">
      <alignment vertical="center"/>
    </xf>
    <xf numFmtId="0" fontId="0" fillId="11" borderId="3" xfId="0" applyFont="1" applyFill="1" applyBorder="1" applyAlignment="1">
      <alignment horizontal="right" vertical="center"/>
    </xf>
    <xf numFmtId="44" fontId="0" fillId="12" borderId="32" xfId="0" applyNumberFormat="1" applyFont="1" applyFill="1" applyBorder="1" applyAlignment="1">
      <alignment vertical="center"/>
    </xf>
    <xf numFmtId="164" fontId="0" fillId="12" borderId="32" xfId="0" applyNumberFormat="1" applyFont="1" applyFill="1" applyBorder="1" applyAlignment="1">
      <alignment vertical="center"/>
    </xf>
    <xf numFmtId="44" fontId="0" fillId="12" borderId="6" xfId="0" applyNumberFormat="1" applyFont="1" applyFill="1" applyBorder="1" applyAlignment="1">
      <alignment vertical="center"/>
    </xf>
    <xf numFmtId="0" fontId="0" fillId="12" borderId="6" xfId="0" applyFont="1" applyFill="1" applyBorder="1" applyAlignment="1">
      <alignment vertical="center"/>
    </xf>
    <xf numFmtId="164" fontId="0" fillId="12" borderId="6" xfId="0" applyNumberFormat="1" applyFont="1" applyFill="1" applyBorder="1" applyAlignment="1">
      <alignment vertical="center"/>
    </xf>
    <xf numFmtId="44" fontId="0" fillId="14" borderId="32" xfId="0" applyNumberFormat="1" applyFont="1" applyFill="1" applyBorder="1" applyAlignment="1">
      <alignment vertical="center"/>
    </xf>
    <xf numFmtId="164" fontId="0" fillId="14" borderId="6" xfId="0" applyNumberFormat="1" applyFont="1" applyFill="1" applyBorder="1" applyAlignment="1">
      <alignment vertical="center"/>
    </xf>
    <xf numFmtId="0" fontId="44" fillId="0" borderId="0" xfId="0" applyFont="1" applyAlignment="1">
      <alignment horizontal="center"/>
    </xf>
    <xf numFmtId="0" fontId="0" fillId="0" borderId="0" xfId="0" applyBorder="1" applyAlignment="1"/>
    <xf numFmtId="0" fontId="42" fillId="0" borderId="0" xfId="0" applyFont="1" applyBorder="1" applyAlignment="1">
      <alignment horizontal="right"/>
    </xf>
    <xf numFmtId="43" fontId="0" fillId="2" borderId="0" xfId="1" applyFont="1" applyFill="1" applyBorder="1"/>
    <xf numFmtId="0" fontId="0" fillId="0" borderId="0" xfId="0" applyBorder="1" applyAlignment="1">
      <alignment horizontal="right"/>
    </xf>
    <xf numFmtId="0" fontId="26" fillId="0" borderId="0" xfId="0" applyFont="1" applyBorder="1" applyAlignment="1">
      <alignment horizontal="center"/>
    </xf>
    <xf numFmtId="0" fontId="42" fillId="0" borderId="0" xfId="0" applyFont="1" applyBorder="1"/>
    <xf numFmtId="0" fontId="26" fillId="0" borderId="0" xfId="0" applyFont="1" applyBorder="1"/>
    <xf numFmtId="44" fontId="3" fillId="2" borderId="0" xfId="0" applyNumberFormat="1" applyFont="1" applyFill="1" applyBorder="1"/>
    <xf numFmtId="0" fontId="0" fillId="0" borderId="51" xfId="0" applyBorder="1" applyAlignment="1">
      <alignment horizontal="center"/>
    </xf>
    <xf numFmtId="0" fontId="0" fillId="0" borderId="52" xfId="0" applyBorder="1"/>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26" fillId="0" borderId="54" xfId="0" applyFont="1" applyBorder="1" applyAlignment="1">
      <alignment horizontal="center"/>
    </xf>
    <xf numFmtId="0" fontId="42" fillId="0" borderId="55" xfId="0" applyFont="1" applyBorder="1"/>
    <xf numFmtId="0" fontId="26" fillId="0" borderId="54" xfId="0" applyFont="1" applyBorder="1"/>
    <xf numFmtId="0" fontId="0" fillId="0" borderId="56" xfId="0" applyBorder="1" applyAlignment="1">
      <alignment horizontal="center"/>
    </xf>
    <xf numFmtId="0" fontId="0" fillId="0" borderId="29" xfId="0" applyBorder="1"/>
    <xf numFmtId="0" fontId="0" fillId="0" borderId="29" xfId="0" applyBorder="1" applyAlignment="1">
      <alignment horizontal="center"/>
    </xf>
    <xf numFmtId="0" fontId="0" fillId="0" borderId="57" xfId="0" applyBorder="1" applyAlignment="1">
      <alignment horizontal="center"/>
    </xf>
    <xf numFmtId="0" fontId="46" fillId="0" borderId="0" xfId="0" applyFont="1" applyAlignment="1">
      <alignment horizontal="center"/>
    </xf>
    <xf numFmtId="166" fontId="0" fillId="2" borderId="0" xfId="0" applyNumberFormat="1" applyFill="1"/>
    <xf numFmtId="0" fontId="0" fillId="0" borderId="0" xfId="0" applyBorder="1" applyAlignment="1">
      <alignment horizontal="center" vertical="top"/>
    </xf>
    <xf numFmtId="0" fontId="0" fillId="2" borderId="0" xfId="0" applyFill="1" applyBorder="1" applyAlignment="1">
      <alignment horizontal="center"/>
    </xf>
    <xf numFmtId="0" fontId="0" fillId="0" borderId="9" xfId="0" applyBorder="1" applyAlignment="1">
      <alignment horizontal="center" vertical="top"/>
    </xf>
    <xf numFmtId="44" fontId="0" fillId="2" borderId="0" xfId="0" applyNumberFormat="1" applyFill="1" applyBorder="1"/>
    <xf numFmtId="0" fontId="22" fillId="0" borderId="0" xfId="0" applyFont="1" applyBorder="1"/>
    <xf numFmtId="0" fontId="0" fillId="0" borderId="0" xfId="0" applyBorder="1" applyAlignment="1">
      <alignment horizontal="left"/>
    </xf>
    <xf numFmtId="0" fontId="0" fillId="0" borderId="0" xfId="0" quotePrefix="1" applyBorder="1" applyAlignment="1">
      <alignment horizontal="center"/>
    </xf>
    <xf numFmtId="44" fontId="0" fillId="2" borderId="0" xfId="0" applyNumberFormat="1" applyFill="1" applyBorder="1" applyAlignment="1">
      <alignment horizontal="center"/>
    </xf>
    <xf numFmtId="2" fontId="0" fillId="2" borderId="0" xfId="0" applyNumberFormat="1" applyFill="1" applyBorder="1"/>
    <xf numFmtId="0" fontId="3" fillId="0" borderId="0" xfId="0" applyFont="1" applyBorder="1" applyAlignment="1">
      <alignment horizontal="right"/>
    </xf>
    <xf numFmtId="0" fontId="0" fillId="0" borderId="8" xfId="0" applyBorder="1" applyAlignment="1">
      <alignment horizontal="center" vertical="top"/>
    </xf>
    <xf numFmtId="0" fontId="0" fillId="0" borderId="10" xfId="0" applyBorder="1" applyAlignment="1">
      <alignment horizontal="center" vertical="top"/>
    </xf>
    <xf numFmtId="0" fontId="0" fillId="0" borderId="7" xfId="0" applyBorder="1" applyAlignment="1">
      <alignment horizontal="center" vertical="top"/>
    </xf>
    <xf numFmtId="0" fontId="0" fillId="0" borderId="11" xfId="0" applyBorder="1" applyAlignment="1">
      <alignment horizontal="center" vertical="top"/>
    </xf>
    <xf numFmtId="166" fontId="0" fillId="2" borderId="0" xfId="0" applyNumberFormat="1" applyFill="1" applyBorder="1" applyAlignment="1">
      <alignment horizontal="center" vertical="top"/>
    </xf>
    <xf numFmtId="0" fontId="0" fillId="2" borderId="0" xfId="0" applyFill="1" applyBorder="1" applyAlignment="1">
      <alignment horizontal="center" vertical="top"/>
    </xf>
    <xf numFmtId="0" fontId="24" fillId="0" borderId="1" xfId="0" applyFont="1" applyBorder="1" applyAlignment="1">
      <alignment horizontal="center" vertical="top"/>
    </xf>
    <xf numFmtId="0" fontId="0" fillId="0" borderId="12" xfId="0" applyBorder="1" applyAlignment="1">
      <alignment horizontal="center" vertical="top"/>
    </xf>
    <xf numFmtId="0" fontId="19" fillId="0" borderId="8" xfId="0" applyFont="1" applyBorder="1"/>
    <xf numFmtId="0" fontId="19" fillId="0" borderId="10" xfId="0" applyFont="1" applyBorder="1"/>
    <xf numFmtId="0" fontId="5" fillId="0" borderId="11" xfId="0" applyFont="1" applyBorder="1" applyAlignment="1">
      <alignment horizontal="center"/>
    </xf>
    <xf numFmtId="2" fontId="0" fillId="2" borderId="0" xfId="0" applyNumberFormat="1" applyFill="1" applyBorder="1" applyAlignment="1">
      <alignment horizontal="center" vertical="top"/>
    </xf>
    <xf numFmtId="0" fontId="5" fillId="0" borderId="12" xfId="0" applyFont="1" applyBorder="1" applyAlignment="1">
      <alignment horizontal="center"/>
    </xf>
    <xf numFmtId="0" fontId="0" fillId="2" borderId="61" xfId="0" applyFill="1" applyBorder="1"/>
    <xf numFmtId="164" fontId="0" fillId="9" borderId="62" xfId="1" applyNumberFormat="1" applyFont="1" applyFill="1" applyBorder="1" applyAlignment="1" applyProtection="1">
      <alignment vertical="center"/>
      <protection locked="0"/>
    </xf>
    <xf numFmtId="164" fontId="0" fillId="9" borderId="63" xfId="1" applyNumberFormat="1" applyFont="1" applyFill="1" applyBorder="1" applyAlignment="1" applyProtection="1">
      <alignment vertical="center"/>
      <protection locked="0"/>
    </xf>
    <xf numFmtId="0" fontId="0" fillId="0" borderId="79" xfId="0" applyBorder="1" applyAlignment="1">
      <alignment horizontal="center"/>
    </xf>
    <xf numFmtId="0" fontId="0" fillId="0" borderId="80" xfId="0" applyBorder="1"/>
    <xf numFmtId="0" fontId="0" fillId="0" borderId="80" xfId="0" applyBorder="1" applyAlignment="1">
      <alignment horizontal="center"/>
    </xf>
    <xf numFmtId="0" fontId="0" fillId="0" borderId="80" xfId="0" applyBorder="1" applyAlignment="1">
      <alignment horizontal="right"/>
    </xf>
    <xf numFmtId="0" fontId="0" fillId="0" borderId="81"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43" fontId="0" fillId="2" borderId="0" xfId="0" applyNumberFormat="1" applyFill="1" applyBorder="1"/>
    <xf numFmtId="0" fontId="26" fillId="0" borderId="82" xfId="0" applyFont="1" applyBorder="1" applyAlignment="1">
      <alignment horizontal="center"/>
    </xf>
    <xf numFmtId="0" fontId="0" fillId="0" borderId="83" xfId="0" applyBorder="1"/>
    <xf numFmtId="0" fontId="26" fillId="0" borderId="82" xfId="0" applyFont="1" applyBorder="1"/>
    <xf numFmtId="0" fontId="0" fillId="0" borderId="84" xfId="0" applyBorder="1" applyAlignment="1">
      <alignment horizontal="center"/>
    </xf>
    <xf numFmtId="0" fontId="0" fillId="0" borderId="85" xfId="0" applyBorder="1"/>
    <xf numFmtId="0" fontId="0" fillId="0" borderId="85" xfId="0" applyBorder="1" applyAlignment="1">
      <alignment horizontal="center"/>
    </xf>
    <xf numFmtId="0" fontId="0" fillId="0" borderId="86" xfId="0" applyBorder="1" applyAlignment="1">
      <alignment horizontal="center"/>
    </xf>
    <xf numFmtId="0" fontId="50" fillId="0" borderId="0" xfId="0" applyFont="1" applyBorder="1" applyAlignment="1">
      <alignment horizontal="center"/>
    </xf>
    <xf numFmtId="0" fontId="50" fillId="0" borderId="0" xfId="0" applyFont="1" applyBorder="1"/>
    <xf numFmtId="0" fontId="51" fillId="0" borderId="0" xfId="0" applyFont="1" applyBorder="1" applyAlignment="1">
      <alignment horizontal="right"/>
    </xf>
    <xf numFmtId="0" fontId="52" fillId="0" borderId="0" xfId="0" applyFont="1" applyBorder="1" applyAlignment="1">
      <alignment horizontal="center"/>
    </xf>
    <xf numFmtId="0" fontId="50" fillId="0" borderId="0" xfId="0" applyFont="1" applyBorder="1" applyAlignment="1">
      <alignment horizontal="right"/>
    </xf>
    <xf numFmtId="0" fontId="52" fillId="0" borderId="0" xfId="0" applyFont="1" applyBorder="1"/>
    <xf numFmtId="0" fontId="53" fillId="0" borderId="0" xfId="0" applyFont="1"/>
    <xf numFmtId="0" fontId="54" fillId="0" borderId="0" xfId="0" applyFont="1"/>
    <xf numFmtId="0" fontId="55" fillId="0" borderId="0" xfId="0" applyFont="1"/>
    <xf numFmtId="0" fontId="56" fillId="0" borderId="0" xfId="0" applyFont="1"/>
    <xf numFmtId="169" fontId="0" fillId="2" borderId="61" xfId="2" applyNumberFormat="1" applyFont="1" applyFill="1" applyBorder="1"/>
    <xf numFmtId="171" fontId="0" fillId="2" borderId="61" xfId="2" applyNumberFormat="1" applyFont="1" applyFill="1" applyBorder="1"/>
    <xf numFmtId="44" fontId="0" fillId="2" borderId="61" xfId="2" applyNumberFormat="1" applyFont="1" applyFill="1" applyBorder="1"/>
    <xf numFmtId="44" fontId="7" fillId="2" borderId="61" xfId="2" applyFont="1" applyFill="1" applyBorder="1" applyAlignment="1" applyProtection="1">
      <alignment horizontal="center" vertical="center"/>
    </xf>
    <xf numFmtId="44" fontId="0" fillId="2" borderId="61" xfId="2" applyFont="1" applyFill="1" applyBorder="1"/>
    <xf numFmtId="0" fontId="23" fillId="0" borderId="0" xfId="0" applyFont="1" applyAlignment="1">
      <alignment horizontal="center"/>
    </xf>
    <xf numFmtId="44" fontId="0" fillId="2" borderId="61" xfId="0" applyNumberFormat="1" applyFill="1" applyBorder="1"/>
    <xf numFmtId="0" fontId="0" fillId="0" borderId="87" xfId="0" applyBorder="1" applyAlignment="1">
      <alignment horizontal="center"/>
    </xf>
    <xf numFmtId="0" fontId="0" fillId="0" borderId="88" xfId="0" applyBorder="1"/>
    <xf numFmtId="0" fontId="0" fillId="0" borderId="88" xfId="0" applyBorder="1" applyAlignment="1">
      <alignment horizontal="center"/>
    </xf>
    <xf numFmtId="0" fontId="0" fillId="0" borderId="88" xfId="0" applyBorder="1" applyAlignment="1">
      <alignment horizontal="right"/>
    </xf>
    <xf numFmtId="0" fontId="0" fillId="0" borderId="89" xfId="0" applyBorder="1" applyAlignment="1">
      <alignment horizontal="center"/>
    </xf>
    <xf numFmtId="0" fontId="0" fillId="0" borderId="90" xfId="0" applyBorder="1" applyAlignment="1">
      <alignment horizontal="center"/>
    </xf>
    <xf numFmtId="0" fontId="0" fillId="0" borderId="91" xfId="0" applyBorder="1" applyAlignment="1">
      <alignment horizontal="center"/>
    </xf>
    <xf numFmtId="0" fontId="26" fillId="0" borderId="90" xfId="0" applyFont="1" applyBorder="1" applyAlignment="1">
      <alignment horizontal="center"/>
    </xf>
    <xf numFmtId="0" fontId="0" fillId="0" borderId="91" xfId="0" applyBorder="1"/>
    <xf numFmtId="0" fontId="26" fillId="0" borderId="90" xfId="0" applyFont="1" applyBorder="1"/>
    <xf numFmtId="0" fontId="0" fillId="0" borderId="92" xfId="0" applyBorder="1" applyAlignment="1">
      <alignment horizontal="center"/>
    </xf>
    <xf numFmtId="0" fontId="0" fillId="0" borderId="93" xfId="0" applyBorder="1"/>
    <xf numFmtId="0" fontId="0" fillId="0" borderId="93" xfId="0" applyBorder="1" applyAlignment="1">
      <alignment horizontal="center"/>
    </xf>
    <xf numFmtId="0" fontId="0" fillId="0" borderId="94" xfId="0" applyBorder="1" applyAlignment="1">
      <alignment horizontal="center"/>
    </xf>
    <xf numFmtId="0" fontId="47" fillId="0" borderId="0" xfId="0" applyFont="1" applyBorder="1" applyAlignment="1">
      <alignment horizontal="center"/>
    </xf>
    <xf numFmtId="0" fontId="47" fillId="0" borderId="0" xfId="0" applyFont="1" applyBorder="1"/>
    <xf numFmtId="0" fontId="58" fillId="0" borderId="0" xfId="0" applyFont="1" applyBorder="1" applyAlignment="1">
      <alignment horizontal="right"/>
    </xf>
    <xf numFmtId="0" fontId="59" fillId="0" borderId="0" xfId="0" applyFont="1" applyBorder="1" applyAlignment="1">
      <alignment horizontal="center"/>
    </xf>
    <xf numFmtId="0" fontId="47" fillId="0" borderId="0" xfId="0" applyFont="1" applyBorder="1" applyAlignment="1">
      <alignment horizontal="right"/>
    </xf>
    <xf numFmtId="0" fontId="59" fillId="0" borderId="0" xfId="0" applyFont="1" applyBorder="1"/>
    <xf numFmtId="43" fontId="0" fillId="2" borderId="15" xfId="0" applyNumberFormat="1" applyFill="1" applyBorder="1"/>
    <xf numFmtId="171" fontId="1" fillId="11" borderId="6" xfId="2" applyNumberFormat="1" applyFont="1" applyFill="1" applyBorder="1" applyAlignment="1">
      <alignment vertical="center"/>
    </xf>
    <xf numFmtId="0" fontId="14" fillId="0" borderId="0" xfId="0" applyFont="1" applyProtection="1"/>
    <xf numFmtId="0" fontId="19" fillId="0" borderId="0" xfId="0" applyFont="1" applyProtection="1"/>
    <xf numFmtId="0" fontId="0" fillId="0" borderId="0" xfId="0" applyAlignment="1" applyProtection="1">
      <alignment vertical="top"/>
    </xf>
    <xf numFmtId="0" fontId="0" fillId="0" borderId="0" xfId="0" applyProtection="1"/>
    <xf numFmtId="0" fontId="0" fillId="0" borderId="0" xfId="0" applyAlignment="1" applyProtection="1">
      <alignment horizontal="center"/>
    </xf>
    <xf numFmtId="0" fontId="15" fillId="0" borderId="0" xfId="0" applyFont="1" applyProtection="1"/>
    <xf numFmtId="0" fontId="0" fillId="0" borderId="0" xfId="0" applyAlignment="1" applyProtection="1">
      <alignment horizontal="right" indent="1"/>
    </xf>
    <xf numFmtId="0" fontId="15" fillId="0" borderId="0" xfId="0" applyFont="1" applyAlignment="1" applyProtection="1">
      <alignment horizontal="left" vertical="center"/>
    </xf>
    <xf numFmtId="0" fontId="19" fillId="0" borderId="0" xfId="0" applyFont="1" applyAlignment="1" applyProtection="1">
      <alignment horizontal="left" vertical="center"/>
    </xf>
    <xf numFmtId="0" fontId="0" fillId="0" borderId="0" xfId="0" applyAlignment="1" applyProtection="1">
      <alignment horizontal="right" vertical="center" indent="1"/>
    </xf>
    <xf numFmtId="0" fontId="0" fillId="0" borderId="0" xfId="0" applyAlignment="1" applyProtection="1">
      <alignment horizontal="left" vertical="center"/>
    </xf>
    <xf numFmtId="0" fontId="39" fillId="0" borderId="0" xfId="0" applyFont="1" applyAlignment="1" applyProtection="1">
      <alignment horizontal="left" vertical="center"/>
    </xf>
    <xf numFmtId="0" fontId="33" fillId="0" borderId="14" xfId="0" applyFont="1" applyBorder="1" applyAlignment="1" applyProtection="1">
      <alignment vertical="top" wrapText="1"/>
    </xf>
    <xf numFmtId="0" fontId="2" fillId="0" borderId="0" xfId="0" applyFont="1" applyAlignment="1" applyProtection="1">
      <alignment vertical="top"/>
    </xf>
    <xf numFmtId="0" fontId="42" fillId="0" borderId="23" xfId="0" applyFont="1" applyBorder="1" applyAlignment="1" applyProtection="1">
      <alignment vertical="top" wrapText="1"/>
    </xf>
    <xf numFmtId="0" fontId="34" fillId="0" borderId="16" xfId="0" applyFont="1" applyBorder="1" applyAlignment="1" applyProtection="1">
      <alignment vertical="top" wrapText="1"/>
    </xf>
    <xf numFmtId="0" fontId="4" fillId="0" borderId="14" xfId="0" applyFont="1" applyBorder="1" applyAlignment="1" applyProtection="1">
      <alignment vertical="top" wrapText="1"/>
    </xf>
    <xf numFmtId="0" fontId="4" fillId="0" borderId="23" xfId="0" applyFont="1" applyBorder="1" applyAlignment="1" applyProtection="1">
      <alignment vertical="top" wrapText="1"/>
    </xf>
    <xf numFmtId="0" fontId="4" fillId="0" borderId="0" xfId="0" applyFont="1" applyAlignment="1" applyProtection="1">
      <alignment horizontal="center"/>
    </xf>
    <xf numFmtId="0" fontId="0" fillId="0" borderId="14" xfId="0" applyBorder="1" applyProtection="1"/>
    <xf numFmtId="0" fontId="0" fillId="0" borderId="23" xfId="0" applyBorder="1" applyProtection="1"/>
    <xf numFmtId="0" fontId="0" fillId="0" borderId="16" xfId="0" applyBorder="1" applyProtection="1"/>
    <xf numFmtId="0" fontId="20" fillId="0" borderId="0" xfId="0" applyFont="1" applyProtection="1"/>
    <xf numFmtId="0" fontId="13" fillId="0" borderId="0" xfId="0" applyFont="1" applyProtection="1"/>
    <xf numFmtId="0" fontId="2" fillId="0" borderId="23" xfId="0" applyFont="1" applyBorder="1" applyProtection="1"/>
    <xf numFmtId="0" fontId="2" fillId="0" borderId="16" xfId="0" applyFont="1" applyBorder="1" applyProtection="1"/>
    <xf numFmtId="0" fontId="0" fillId="0" borderId="69" xfId="0" applyBorder="1" applyProtection="1"/>
    <xf numFmtId="0" fontId="0" fillId="0" borderId="70" xfId="0" applyBorder="1" applyProtection="1"/>
    <xf numFmtId="0" fontId="0" fillId="0" borderId="69" xfId="0" applyBorder="1" applyAlignment="1" applyProtection="1">
      <alignment horizontal="center"/>
    </xf>
    <xf numFmtId="0" fontId="2" fillId="0" borderId="71" xfId="0" applyFont="1" applyBorder="1" applyProtection="1"/>
    <xf numFmtId="0" fontId="2" fillId="0" borderId="72" xfId="0" applyFont="1" applyBorder="1" applyProtection="1"/>
    <xf numFmtId="0" fontId="0" fillId="0" borderId="66" xfId="0" applyBorder="1" applyAlignment="1" applyProtection="1">
      <alignment horizontal="center"/>
    </xf>
    <xf numFmtId="0" fontId="0" fillId="0" borderId="0" xfId="0" applyAlignment="1" applyProtection="1">
      <alignment horizontal="right"/>
    </xf>
    <xf numFmtId="164" fontId="0" fillId="2" borderId="22" xfId="1" applyNumberFormat="1" applyFont="1" applyFill="1" applyBorder="1" applyProtection="1"/>
    <xf numFmtId="0" fontId="0" fillId="0" borderId="67" xfId="0" applyBorder="1" applyAlignment="1" applyProtection="1">
      <alignment horizontal="center"/>
    </xf>
    <xf numFmtId="0" fontId="0" fillId="0" borderId="0" xfId="0" quotePrefix="1" applyAlignment="1" applyProtection="1">
      <alignment horizontal="right"/>
    </xf>
    <xf numFmtId="0" fontId="0" fillId="0" borderId="73" xfId="0" applyBorder="1" applyProtection="1"/>
    <xf numFmtId="0" fontId="0" fillId="0" borderId="74" xfId="0" applyBorder="1" applyProtection="1"/>
    <xf numFmtId="0" fontId="0" fillId="0" borderId="73" xfId="0" applyBorder="1" applyAlignment="1" applyProtection="1">
      <alignment horizontal="center"/>
    </xf>
    <xf numFmtId="0" fontId="0" fillId="0" borderId="75" xfId="0" applyBorder="1" applyProtection="1"/>
    <xf numFmtId="0" fontId="0" fillId="0" borderId="76" xfId="0" applyBorder="1" applyProtection="1"/>
    <xf numFmtId="0" fontId="0" fillId="0" borderId="68" xfId="0" applyBorder="1" applyAlignment="1" applyProtection="1">
      <alignment horizontal="center"/>
    </xf>
    <xf numFmtId="0" fontId="15" fillId="0" borderId="0" xfId="0" applyFont="1" applyAlignment="1" applyProtection="1">
      <alignment vertical="center"/>
    </xf>
    <xf numFmtId="0" fontId="19"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164" fontId="0" fillId="2" borderId="22" xfId="1" applyNumberFormat="1" applyFont="1" applyFill="1" applyBorder="1" applyAlignment="1" applyProtection="1">
      <alignment vertical="center"/>
    </xf>
    <xf numFmtId="0" fontId="4" fillId="0" borderId="0" xfId="0" applyFont="1" applyAlignment="1" applyProtection="1">
      <alignment horizontal="left"/>
    </xf>
    <xf numFmtId="0" fontId="0" fillId="5" borderId="2" xfId="0" applyFill="1" applyBorder="1" applyAlignment="1" applyProtection="1">
      <alignment vertical="top" wrapText="1"/>
    </xf>
    <xf numFmtId="0" fontId="0" fillId="5" borderId="0" xfId="0" applyFill="1" applyAlignment="1" applyProtection="1">
      <alignment horizontal="center"/>
    </xf>
    <xf numFmtId="0" fontId="0" fillId="0" borderId="23" xfId="0" applyBorder="1" applyAlignment="1" applyProtection="1">
      <alignment horizontal="center"/>
    </xf>
    <xf numFmtId="0" fontId="0" fillId="0" borderId="16" xfId="0" applyBorder="1" applyAlignment="1" applyProtection="1">
      <alignment horizontal="center"/>
    </xf>
    <xf numFmtId="0" fontId="4" fillId="5" borderId="7" xfId="0" applyFont="1" applyFill="1" applyBorder="1" applyAlignment="1" applyProtection="1">
      <alignment horizontal="center" vertical="top" wrapText="1"/>
    </xf>
    <xf numFmtId="0" fontId="4" fillId="5" borderId="0" xfId="0" applyFont="1" applyFill="1" applyAlignment="1" applyProtection="1">
      <alignment horizontal="center" vertical="top" wrapText="1"/>
    </xf>
    <xf numFmtId="0" fontId="0" fillId="0" borderId="0" xfId="0" applyAlignment="1" applyProtection="1">
      <alignment horizontal="center" vertical="center" wrapText="1"/>
    </xf>
    <xf numFmtId="0" fontId="0" fillId="0" borderId="0" xfId="0" quotePrefix="1" applyAlignment="1" applyProtection="1">
      <alignment horizontal="center" vertical="center"/>
    </xf>
    <xf numFmtId="165" fontId="0" fillId="2" borderId="14" xfId="3" quotePrefix="1" applyNumberFormat="1" applyFont="1" applyFill="1" applyBorder="1" applyAlignment="1" applyProtection="1">
      <alignment horizontal="right" vertical="center"/>
    </xf>
    <xf numFmtId="165" fontId="0" fillId="2" borderId="16" xfId="3" quotePrefix="1" applyNumberFormat="1" applyFont="1" applyFill="1" applyBorder="1" applyAlignment="1" applyProtection="1">
      <alignment horizontal="right" vertical="center"/>
    </xf>
    <xf numFmtId="0" fontId="0" fillId="5" borderId="1" xfId="0" applyFill="1" applyBorder="1" applyAlignment="1" applyProtection="1">
      <alignment horizontal="center" vertical="center" wrapText="1"/>
    </xf>
    <xf numFmtId="0" fontId="0" fillId="0" borderId="0" xfId="0" applyAlignment="1" applyProtection="1">
      <alignment vertical="top" wrapText="1"/>
    </xf>
    <xf numFmtId="0" fontId="0" fillId="0" borderId="0" xfId="0" applyAlignment="1" applyProtection="1">
      <alignment horizontal="right" vertical="top" wrapText="1"/>
    </xf>
    <xf numFmtId="16" fontId="0" fillId="0" borderId="0" xfId="0" quotePrefix="1" applyNumberFormat="1" applyAlignment="1" applyProtection="1">
      <alignment horizontal="right"/>
    </xf>
    <xf numFmtId="0" fontId="0" fillId="0" borderId="23"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16" xfId="0" applyFont="1" applyBorder="1" applyAlignment="1" applyProtection="1">
      <alignment horizontal="center" vertical="center"/>
    </xf>
    <xf numFmtId="0" fontId="0" fillId="0" borderId="0" xfId="0" applyAlignment="1" applyProtection="1">
      <alignment wrapText="1"/>
    </xf>
    <xf numFmtId="0" fontId="2" fillId="0" borderId="64" xfId="0" applyFont="1" applyBorder="1" applyProtection="1"/>
    <xf numFmtId="0" fontId="0" fillId="0" borderId="64" xfId="0" applyBorder="1" applyProtection="1"/>
    <xf numFmtId="0" fontId="2" fillId="0" borderId="78" xfId="0" applyFont="1" applyBorder="1" applyProtection="1"/>
    <xf numFmtId="0" fontId="2" fillId="0" borderId="76" xfId="0" applyFont="1" applyBorder="1" applyProtection="1"/>
    <xf numFmtId="0" fontId="2" fillId="0" borderId="77" xfId="0" applyFont="1" applyBorder="1" applyProtection="1"/>
    <xf numFmtId="10" fontId="0" fillId="2" borderId="16" xfId="3" quotePrefix="1" applyNumberFormat="1" applyFont="1" applyFill="1" applyBorder="1" applyAlignment="1" applyProtection="1">
      <alignment horizontal="right" vertical="center"/>
    </xf>
    <xf numFmtId="0" fontId="0" fillId="0" borderId="69" xfId="0" applyBorder="1" applyAlignment="1" applyProtection="1">
      <alignment vertical="top"/>
    </xf>
    <xf numFmtId="0" fontId="0" fillId="0" borderId="71" xfId="0" applyBorder="1" applyProtection="1"/>
    <xf numFmtId="0" fontId="0" fillId="0" borderId="72" xfId="0" applyBorder="1" applyProtection="1"/>
    <xf numFmtId="44" fontId="0" fillId="2" borderId="23" xfId="0" applyNumberFormat="1" applyFill="1" applyBorder="1" applyProtection="1"/>
    <xf numFmtId="44" fontId="0" fillId="0" borderId="23" xfId="0" applyNumberFormat="1" applyBorder="1" applyProtection="1"/>
    <xf numFmtId="0" fontId="4" fillId="0" borderId="0" xfId="0" applyFont="1" applyAlignment="1" applyProtection="1">
      <alignment horizontal="right" vertical="top"/>
    </xf>
    <xf numFmtId="0" fontId="0" fillId="0" borderId="0" xfId="0" applyAlignment="1" applyProtection="1">
      <alignment horizontal="right" vertical="top"/>
    </xf>
    <xf numFmtId="0" fontId="0" fillId="0" borderId="73" xfId="0" applyBorder="1" applyAlignment="1" applyProtection="1">
      <alignment vertical="top"/>
    </xf>
    <xf numFmtId="0" fontId="2" fillId="0" borderId="75" xfId="0" applyFont="1" applyBorder="1" applyProtection="1"/>
    <xf numFmtId="165" fontId="0" fillId="9" borderId="23" xfId="3" quotePrefix="1" applyNumberFormat="1" applyFont="1" applyFill="1" applyBorder="1" applyAlignment="1" applyProtection="1">
      <alignment horizontal="center" vertical="center"/>
      <protection locked="0"/>
    </xf>
    <xf numFmtId="44" fontId="0" fillId="9" borderId="14" xfId="2" applyNumberFormat="1" applyFont="1" applyFill="1" applyBorder="1" applyAlignment="1" applyProtection="1">
      <alignment vertical="center"/>
      <protection locked="0"/>
    </xf>
    <xf numFmtId="164" fontId="0" fillId="9" borderId="64" xfId="1" quotePrefix="1" applyNumberFormat="1" applyFont="1" applyFill="1" applyBorder="1" applyAlignment="1" applyProtection="1">
      <alignment horizontal="center" vertical="center"/>
      <protection locked="0"/>
    </xf>
    <xf numFmtId="10" fontId="0" fillId="9" borderId="64" xfId="3" applyNumberFormat="1" applyFont="1" applyFill="1" applyBorder="1" applyProtection="1">
      <protection locked="0"/>
    </xf>
    <xf numFmtId="44" fontId="0" fillId="2" borderId="0" xfId="0" applyNumberFormat="1" applyFill="1" applyBorder="1" applyAlignment="1">
      <alignment horizontal="left"/>
    </xf>
    <xf numFmtId="0" fontId="0" fillId="5" borderId="10" xfId="0" applyFill="1" applyBorder="1" applyAlignment="1" applyProtection="1">
      <alignment horizontal="center" vertical="center" wrapText="1"/>
    </xf>
    <xf numFmtId="0" fontId="0" fillId="5" borderId="11" xfId="0" applyFill="1" applyBorder="1" applyAlignment="1" applyProtection="1">
      <alignment horizontal="center" vertical="center" wrapText="1"/>
    </xf>
    <xf numFmtId="0" fontId="0" fillId="0" borderId="0" xfId="0" applyAlignment="1" applyProtection="1">
      <alignment horizontal="right" vertical="top" wrapText="1"/>
    </xf>
    <xf numFmtId="0" fontId="0" fillId="0" borderId="0" xfId="0" applyAlignment="1" applyProtection="1">
      <alignment horizontal="left" vertical="top" wrapText="1"/>
    </xf>
    <xf numFmtId="0" fontId="0" fillId="0" borderId="18" xfId="0" applyBorder="1" applyAlignment="1" applyProtection="1">
      <alignment horizontal="left" vertical="top" wrapText="1"/>
    </xf>
    <xf numFmtId="0" fontId="0" fillId="0" borderId="0" xfId="0" applyAlignment="1" applyProtection="1">
      <alignment horizontal="right" wrapText="1"/>
    </xf>
    <xf numFmtId="0" fontId="0" fillId="0" borderId="65" xfId="0" applyBorder="1" applyAlignment="1" applyProtection="1">
      <alignment horizontal="left" vertical="center" wrapText="1"/>
    </xf>
    <xf numFmtId="0" fontId="0" fillId="0" borderId="0" xfId="0" applyAlignment="1" applyProtection="1">
      <alignment horizontal="left" vertical="center" wrapText="1"/>
    </xf>
    <xf numFmtId="0" fontId="38" fillId="0" borderId="0" xfId="0" applyFont="1" applyAlignment="1" applyProtection="1">
      <alignment horizontal="center"/>
    </xf>
    <xf numFmtId="0" fontId="39" fillId="0" borderId="0" xfId="0" applyFont="1" applyAlignment="1" applyProtection="1">
      <alignment horizontal="center"/>
    </xf>
    <xf numFmtId="0" fontId="4" fillId="0" borderId="17"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5" borderId="8" xfId="0" applyFill="1" applyBorder="1" applyAlignment="1" applyProtection="1">
      <alignment horizontal="center" vertical="center" wrapText="1"/>
    </xf>
    <xf numFmtId="0" fontId="0" fillId="5" borderId="7" xfId="0" applyFill="1" applyBorder="1" applyAlignment="1" applyProtection="1">
      <alignment horizontal="center" vertical="center" wrapText="1"/>
    </xf>
    <xf numFmtId="0" fontId="0" fillId="5" borderId="2" xfId="0" applyFill="1" applyBorder="1" applyAlignment="1" applyProtection="1">
      <alignment horizontal="center" vertical="center" wrapText="1"/>
    </xf>
    <xf numFmtId="0" fontId="0" fillId="5" borderId="0" xfId="0" applyFill="1" applyAlignment="1" applyProtection="1">
      <alignment horizontal="center" vertical="center" wrapText="1"/>
    </xf>
    <xf numFmtId="0" fontId="3" fillId="9" borderId="19" xfId="0" applyFont="1" applyFill="1" applyBorder="1" applyAlignment="1" applyProtection="1">
      <alignment horizontal="left" vertical="top"/>
      <protection locked="0"/>
    </xf>
    <xf numFmtId="0" fontId="3" fillId="9" borderId="20" xfId="0" applyFont="1" applyFill="1" applyBorder="1" applyAlignment="1" applyProtection="1">
      <alignment horizontal="left" vertical="top"/>
      <protection locked="0"/>
    </xf>
    <xf numFmtId="0" fontId="0" fillId="2" borderId="3" xfId="0" applyFill="1" applyBorder="1" applyAlignment="1" applyProtection="1">
      <alignment horizontal="left" vertical="center"/>
    </xf>
    <xf numFmtId="0" fontId="0" fillId="5" borderId="8" xfId="0" applyFill="1" applyBorder="1" applyAlignment="1" applyProtection="1">
      <alignment horizontal="center" vertical="top" wrapText="1"/>
    </xf>
    <xf numFmtId="0" fontId="0" fillId="5" borderId="2" xfId="0" applyFill="1" applyBorder="1" applyAlignment="1" applyProtection="1">
      <alignment horizontal="center" vertical="top" wrapText="1"/>
    </xf>
    <xf numFmtId="0" fontId="0" fillId="5" borderId="7" xfId="0" applyFill="1" applyBorder="1" applyAlignment="1" applyProtection="1">
      <alignment horizontal="center" vertical="top" wrapText="1"/>
    </xf>
    <xf numFmtId="0" fontId="0" fillId="5" borderId="0" xfId="0" applyFill="1" applyAlignment="1" applyProtection="1">
      <alignment horizontal="center" vertical="top" wrapText="1"/>
    </xf>
    <xf numFmtId="0" fontId="0" fillId="0" borderId="0" xfId="0" applyAlignment="1" applyProtection="1">
      <alignment horizontal="right" vertical="center" wrapText="1"/>
    </xf>
    <xf numFmtId="0" fontId="0" fillId="5" borderId="10" xfId="0" applyFill="1" applyBorder="1" applyAlignment="1" applyProtection="1">
      <alignment horizontal="center" wrapText="1"/>
    </xf>
    <xf numFmtId="0" fontId="0" fillId="5" borderId="11" xfId="0" applyFill="1" applyBorder="1" applyAlignment="1" applyProtection="1">
      <alignment horizontal="center" wrapText="1"/>
    </xf>
    <xf numFmtId="0" fontId="43" fillId="16" borderId="32" xfId="0" applyFont="1" applyFill="1" applyBorder="1" applyAlignment="1">
      <alignment horizontal="center"/>
    </xf>
    <xf numFmtId="0" fontId="43" fillId="16" borderId="33" xfId="0" applyFont="1" applyFill="1" applyBorder="1" applyAlignment="1">
      <alignment horizontal="center"/>
    </xf>
    <xf numFmtId="0" fontId="2" fillId="8" borderId="44" xfId="0" applyFont="1" applyFill="1" applyBorder="1" applyAlignment="1">
      <alignment horizontal="center" vertical="center"/>
    </xf>
    <xf numFmtId="0" fontId="2" fillId="8" borderId="45" xfId="0" applyFont="1" applyFill="1" applyBorder="1" applyAlignment="1">
      <alignment horizontal="center" vertical="center"/>
    </xf>
    <xf numFmtId="0" fontId="2" fillId="8" borderId="46" xfId="0" applyFont="1" applyFill="1" applyBorder="1" applyAlignment="1">
      <alignment horizontal="center" vertical="center"/>
    </xf>
    <xf numFmtId="0" fontId="2" fillId="13" borderId="44" xfId="0" applyFont="1" applyFill="1" applyBorder="1" applyAlignment="1">
      <alignment horizontal="center" vertical="center"/>
    </xf>
    <xf numFmtId="0" fontId="2" fillId="13" borderId="45" xfId="0" applyFont="1" applyFill="1" applyBorder="1" applyAlignment="1">
      <alignment horizontal="center" vertical="center"/>
    </xf>
    <xf numFmtId="0" fontId="2" fillId="13" borderId="46" xfId="0" applyFont="1" applyFill="1" applyBorder="1" applyAlignment="1">
      <alignment horizontal="center" vertical="center"/>
    </xf>
    <xf numFmtId="0" fontId="0" fillId="15" borderId="44" xfId="0" applyFill="1" applyBorder="1" applyAlignment="1">
      <alignment horizontal="center"/>
    </xf>
    <xf numFmtId="0" fontId="0" fillId="15" borderId="45" xfId="0" applyFill="1" applyBorder="1" applyAlignment="1">
      <alignment horizontal="center"/>
    </xf>
    <xf numFmtId="0" fontId="0" fillId="15" borderId="46" xfId="0" applyFill="1" applyBorder="1" applyAlignment="1">
      <alignment horizontal="center"/>
    </xf>
    <xf numFmtId="44" fontId="0" fillId="11" borderId="47" xfId="2" applyFont="1" applyFill="1" applyBorder="1" applyAlignment="1">
      <alignment horizontal="center" vertical="center"/>
    </xf>
    <xf numFmtId="44" fontId="0" fillId="11" borderId="48" xfId="2" applyFont="1" applyFill="1" applyBorder="1" applyAlignment="1">
      <alignment horizontal="center" vertical="center"/>
    </xf>
    <xf numFmtId="44" fontId="0" fillId="11" borderId="42" xfId="2" applyFont="1" applyFill="1" applyBorder="1" applyAlignment="1">
      <alignment horizontal="center" vertical="center"/>
    </xf>
    <xf numFmtId="44" fontId="1" fillId="12" borderId="47" xfId="2" applyFont="1" applyFill="1" applyBorder="1" applyAlignment="1">
      <alignment horizontal="center" vertical="center"/>
    </xf>
    <xf numFmtId="44" fontId="1" fillId="12" borderId="42" xfId="2" applyFont="1" applyFill="1" applyBorder="1" applyAlignment="1">
      <alignment horizontal="center" vertical="center"/>
    </xf>
    <xf numFmtId="0" fontId="5" fillId="14" borderId="41" xfId="0" applyFont="1" applyFill="1" applyBorder="1" applyAlignment="1">
      <alignment horizontal="left" vertical="top"/>
    </xf>
    <xf numFmtId="0" fontId="5" fillId="14" borderId="40" xfId="0" applyFont="1" applyFill="1" applyBorder="1" applyAlignment="1">
      <alignment horizontal="left" vertical="top"/>
    </xf>
    <xf numFmtId="0" fontId="43" fillId="16" borderId="39" xfId="0" applyFont="1" applyFill="1" applyBorder="1" applyAlignment="1">
      <alignment horizontal="left"/>
    </xf>
    <xf numFmtId="0" fontId="43" fillId="16" borderId="43" xfId="0" applyFont="1" applyFill="1" applyBorder="1" applyAlignment="1">
      <alignment horizontal="left"/>
    </xf>
    <xf numFmtId="0" fontId="43" fillId="16" borderId="32" xfId="0" applyFont="1" applyFill="1" applyBorder="1" applyAlignment="1">
      <alignment horizontal="left" wrapText="1"/>
    </xf>
    <xf numFmtId="0" fontId="43" fillId="16" borderId="36" xfId="0" applyFont="1" applyFill="1" applyBorder="1" applyAlignment="1">
      <alignment horizontal="left" wrapText="1"/>
    </xf>
    <xf numFmtId="0" fontId="43" fillId="16" borderId="32" xfId="0" applyFont="1" applyFill="1" applyBorder="1" applyAlignment="1">
      <alignment horizontal="left"/>
    </xf>
    <xf numFmtId="0" fontId="43" fillId="16" borderId="36" xfId="0" applyFont="1" applyFill="1" applyBorder="1" applyAlignment="1">
      <alignment horizontal="left"/>
    </xf>
    <xf numFmtId="0" fontId="30" fillId="7" borderId="13" xfId="0" applyFont="1" applyFill="1" applyBorder="1" applyAlignment="1">
      <alignment horizontal="left"/>
    </xf>
    <xf numFmtId="0" fontId="30" fillId="7" borderId="50" xfId="0" applyFont="1" applyFill="1" applyBorder="1" applyAlignment="1">
      <alignment horizontal="left"/>
    </xf>
    <xf numFmtId="0" fontId="35" fillId="10" borderId="31" xfId="0" applyFont="1" applyFill="1" applyBorder="1" applyAlignment="1">
      <alignment horizontal="left" vertical="top" wrapText="1"/>
    </xf>
    <xf numFmtId="0" fontId="35" fillId="10" borderId="34" xfId="0" applyFont="1" applyFill="1" applyBorder="1" applyAlignment="1">
      <alignment horizontal="left" vertical="top" wrapText="1"/>
    </xf>
    <xf numFmtId="0" fontId="35" fillId="10" borderId="35" xfId="0" applyFont="1" applyFill="1" applyBorder="1" applyAlignment="1">
      <alignment horizontal="left" vertical="top" wrapText="1"/>
    </xf>
    <xf numFmtId="0" fontId="35" fillId="12" borderId="31" xfId="0" applyFont="1" applyFill="1" applyBorder="1" applyAlignment="1">
      <alignment horizontal="left" vertical="top" wrapText="1"/>
    </xf>
    <xf numFmtId="0" fontId="35" fillId="12" borderId="34" xfId="0" applyFont="1" applyFill="1" applyBorder="1" applyAlignment="1">
      <alignment horizontal="left" vertical="top" wrapText="1"/>
    </xf>
    <xf numFmtId="0" fontId="35" fillId="12" borderId="35" xfId="0" applyFont="1" applyFill="1" applyBorder="1" applyAlignment="1">
      <alignment horizontal="left" vertical="top" wrapText="1"/>
    </xf>
    <xf numFmtId="0" fontId="45" fillId="0" borderId="0" xfId="0" applyFont="1" applyBorder="1" applyAlignment="1">
      <alignment horizontal="center" vertical="center" wrapText="1"/>
    </xf>
    <xf numFmtId="0" fontId="30" fillId="7" borderId="58" xfId="0" applyFont="1" applyFill="1" applyBorder="1" applyAlignment="1">
      <alignment horizontal="left"/>
    </xf>
    <xf numFmtId="0" fontId="30" fillId="7" borderId="59" xfId="0" applyFont="1" applyFill="1" applyBorder="1" applyAlignment="1">
      <alignment horizontal="left"/>
    </xf>
    <xf numFmtId="0" fontId="30" fillId="7" borderId="60" xfId="0" applyFont="1" applyFill="1" applyBorder="1" applyAlignment="1">
      <alignment horizontal="left"/>
    </xf>
    <xf numFmtId="0" fontId="0" fillId="0" borderId="0" xfId="0" applyAlignment="1">
      <alignment horizontal="left" wrapText="1"/>
    </xf>
    <xf numFmtId="0" fontId="42" fillId="0" borderId="0" xfId="0" applyFont="1" applyBorder="1" applyAlignment="1">
      <alignment horizontal="center" vertical="center"/>
    </xf>
    <xf numFmtId="0" fontId="2" fillId="0" borderId="7"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3" fillId="0" borderId="3" xfId="0" applyFont="1" applyBorder="1" applyAlignment="1">
      <alignment horizontal="left" vertical="center" wrapText="1"/>
    </xf>
    <xf numFmtId="0" fontId="0" fillId="0" borderId="0" xfId="0" applyAlignment="1">
      <alignment horizontal="left" vertical="top" wrapText="1"/>
    </xf>
    <xf numFmtId="0" fontId="0" fillId="0" borderId="0" xfId="0" applyAlignment="1">
      <alignment horizontal="center" vertical="top" wrapText="1"/>
    </xf>
    <xf numFmtId="165" fontId="0" fillId="2" borderId="26" xfId="3" applyNumberFormat="1" applyFont="1" applyFill="1" applyBorder="1" applyAlignment="1">
      <alignment horizontal="center"/>
    </xf>
    <xf numFmtId="165" fontId="0" fillId="2" borderId="27" xfId="3" applyNumberFormat="1" applyFont="1" applyFill="1" applyBorder="1" applyAlignment="1">
      <alignment horizontal="center"/>
    </xf>
    <xf numFmtId="165" fontId="0" fillId="2" borderId="28" xfId="3" applyNumberFormat="1" applyFont="1" applyFill="1" applyBorder="1" applyAlignment="1">
      <alignment horizontal="center"/>
    </xf>
    <xf numFmtId="0" fontId="0" fillId="0" borderId="0" xfId="0" applyBorder="1" applyAlignment="1">
      <alignment horizontal="left"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2" xfId="0" applyBorder="1" applyAlignment="1">
      <alignment horizontal="center" vertical="top"/>
    </xf>
    <xf numFmtId="0" fontId="0" fillId="0" borderId="0" xfId="0" applyAlignment="1">
      <alignment horizontal="right" vertical="top" wrapText="1"/>
    </xf>
    <xf numFmtId="167" fontId="0" fillId="2" borderId="2" xfId="1" applyNumberFormat="1" applyFont="1" applyFill="1" applyBorder="1" applyAlignment="1">
      <alignment horizontal="center" vertical="center"/>
    </xf>
    <xf numFmtId="167" fontId="0" fillId="2" borderId="1" xfId="1"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67" fontId="0" fillId="2" borderId="0" xfId="1" applyNumberFormat="1"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wrapText="1"/>
    </xf>
    <xf numFmtId="0" fontId="0" fillId="0" borderId="7"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49" fillId="0" borderId="0" xfId="0" applyFont="1" applyBorder="1" applyAlignment="1">
      <alignment horizontal="center" vertical="center" wrapText="1"/>
    </xf>
    <xf numFmtId="0" fontId="51" fillId="0" borderId="0" xfId="0" applyFont="1" applyBorder="1" applyAlignment="1">
      <alignment horizontal="center" vertical="center"/>
    </xf>
    <xf numFmtId="0" fontId="0" fillId="0" borderId="0" xfId="0" applyAlignment="1">
      <alignment horizontal="center" vertical="top"/>
    </xf>
    <xf numFmtId="0" fontId="0" fillId="0" borderId="0" xfId="0" applyFont="1" applyBorder="1" applyAlignment="1">
      <alignment horizontal="center" vertical="center"/>
    </xf>
    <xf numFmtId="0" fontId="57" fillId="0" borderId="0" xfId="0" applyFont="1" applyBorder="1" applyAlignment="1">
      <alignment horizontal="center" vertical="center" wrapText="1"/>
    </xf>
    <xf numFmtId="0" fontId="58" fillId="0" borderId="0" xfId="0" applyFont="1" applyBorder="1" applyAlignment="1">
      <alignment horizontal="center" vertical="center"/>
    </xf>
  </cellXfs>
  <cellStyles count="8">
    <cellStyle name="Bad" xfId="6" builtinId="27"/>
    <cellStyle name="Comma" xfId="1" builtinId="3"/>
    <cellStyle name="Currency" xfId="2" builtinId="4"/>
    <cellStyle name="Good" xfId="5" builtinId="26"/>
    <cellStyle name="Hyperlink" xfId="7" builtinId="8"/>
    <cellStyle name="Normal" xfId="0" builtinId="0"/>
    <cellStyle name="Normal 2" xfId="4" xr:uid="{00000000-0005-0000-0000-000006000000}"/>
    <cellStyle name="Percent" xfId="3" builtinId="5"/>
  </cellStyles>
  <dxfs count="44">
    <dxf>
      <font>
        <color rgb="FF002060"/>
      </font>
      <fill>
        <patternFill>
          <bgColor theme="8" tint="0.79998168889431442"/>
        </patternFill>
      </fill>
    </dxf>
    <dxf>
      <font>
        <color rgb="FF9C6500"/>
      </font>
      <fill>
        <patternFill>
          <bgColor rgb="FFFFEB9C"/>
        </patternFill>
      </fill>
    </dxf>
    <dxf>
      <font>
        <color rgb="FF002060"/>
      </font>
      <fill>
        <patternFill>
          <bgColor theme="8"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2060"/>
      </font>
      <fill>
        <patternFill>
          <bgColor theme="8" tint="0.79998168889431442"/>
        </patternFill>
      </fill>
    </dxf>
    <dxf>
      <font>
        <color rgb="FF9C6500"/>
      </font>
      <fill>
        <patternFill>
          <bgColor rgb="FFFFEB9C"/>
        </patternFill>
      </fill>
    </dxf>
    <dxf>
      <fill>
        <patternFill patternType="lightUp">
          <bgColor theme="2" tint="-0.499984740745262"/>
        </patternFill>
      </fill>
    </dxf>
    <dxf>
      <fill>
        <patternFill patternType="lightUp">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lightUp">
          <bgColor theme="2" tint="-0.499984740745262"/>
        </patternFill>
      </fill>
    </dxf>
    <dxf>
      <fill>
        <patternFill patternType="lightUp">
          <bgColor theme="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lightUp">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lightUp">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238D28"/>
      <color rgb="FFCC0099"/>
      <color rgb="FF00CC00"/>
      <color rgb="FF0000FF"/>
      <color rgb="FFFC9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ch.reporting@health.vic.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pageSetUpPr fitToPage="1"/>
  </sheetPr>
  <dimension ref="A1:O32"/>
  <sheetViews>
    <sheetView tabSelected="1" zoomScaleNormal="10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453125" style="1" customWidth="1"/>
    <col min="5" max="5" width="5.7265625" style="1" customWidth="1"/>
    <col min="6" max="6" width="23.26953125" customWidth="1"/>
    <col min="7" max="7" width="5.7265625" style="4" customWidth="1"/>
    <col min="8" max="8" width="23.26953125" customWidth="1"/>
    <col min="9" max="9" width="5.7265625" style="4" customWidth="1"/>
    <col min="10" max="10" width="23.26953125" customWidth="1"/>
    <col min="11" max="11" width="5.7265625" style="4" customWidth="1"/>
    <col min="12" max="12" width="23.26953125" customWidth="1"/>
    <col min="13" max="13" width="5.7265625" style="4" customWidth="1"/>
    <col min="14" max="14" width="23.26953125" customWidth="1"/>
    <col min="15" max="15" width="5.7265625" style="4" customWidth="1"/>
    <col min="16" max="16" width="23.26953125" customWidth="1"/>
  </cols>
  <sheetData>
    <row r="1" spans="1:15" s="42" customFormat="1" ht="26" x14ac:dyDescent="0.6">
      <c r="A1" s="41" t="s">
        <v>254</v>
      </c>
      <c r="B1" s="45"/>
      <c r="D1" s="43"/>
      <c r="E1" s="43"/>
      <c r="G1" s="44"/>
      <c r="I1" s="44"/>
      <c r="K1" s="44"/>
      <c r="M1" s="44"/>
      <c r="O1" s="44"/>
    </row>
    <row r="3" spans="1:15" ht="23.5" x14ac:dyDescent="0.55000000000000004">
      <c r="B3" s="94"/>
    </row>
    <row r="5" spans="1:15" s="1" customFormat="1" ht="15" customHeight="1" x14ac:dyDescent="0.35">
      <c r="A5" s="56"/>
      <c r="B5" s="57"/>
      <c r="C5" s="1" t="s">
        <v>0</v>
      </c>
      <c r="G5" s="76"/>
      <c r="I5" s="76"/>
      <c r="K5" s="76"/>
      <c r="M5" s="76"/>
      <c r="O5" s="76"/>
    </row>
    <row r="6" spans="1:15" s="1" customFormat="1" ht="15" customHeight="1" x14ac:dyDescent="0.35">
      <c r="A6" s="56"/>
      <c r="B6" s="57"/>
      <c r="C6" s="1" t="s">
        <v>1</v>
      </c>
      <c r="G6" s="76"/>
      <c r="I6" s="76"/>
      <c r="K6" s="76"/>
      <c r="M6" s="76"/>
      <c r="O6" s="76"/>
    </row>
    <row r="7" spans="1:15" ht="15" customHeight="1" x14ac:dyDescent="0.55000000000000004">
      <c r="C7" t="s">
        <v>2</v>
      </c>
    </row>
    <row r="8" spans="1:15" ht="15" customHeight="1" x14ac:dyDescent="0.55000000000000004">
      <c r="E8"/>
    </row>
    <row r="9" spans="1:15" ht="15" customHeight="1" x14ac:dyDescent="0.55000000000000004">
      <c r="C9" s="37" t="s">
        <v>3</v>
      </c>
    </row>
    <row r="10" spans="1:15" ht="15" customHeight="1" x14ac:dyDescent="0.55000000000000004">
      <c r="C10" s="92"/>
      <c r="D10" s="1" t="s">
        <v>4</v>
      </c>
    </row>
    <row r="11" spans="1:15" ht="15" customHeight="1" x14ac:dyDescent="0.55000000000000004">
      <c r="B11" s="40"/>
      <c r="C11" s="40"/>
      <c r="D11" s="40"/>
      <c r="G11" s="150"/>
      <c r="I11" s="150"/>
      <c r="K11" s="150"/>
      <c r="M11" s="150"/>
      <c r="O11" s="150"/>
    </row>
    <row r="12" spans="1:15" ht="15" customHeight="1" x14ac:dyDescent="0.55000000000000004">
      <c r="C12" s="22"/>
      <c r="D12" s="1" t="s">
        <v>5</v>
      </c>
    </row>
    <row r="13" spans="1:15" ht="15" customHeight="1" thickBot="1" x14ac:dyDescent="0.6">
      <c r="B13" s="40"/>
      <c r="C13" s="40"/>
      <c r="D13" s="40"/>
      <c r="G13" s="150"/>
      <c r="I13" s="150"/>
      <c r="K13" s="150"/>
      <c r="M13" s="150"/>
      <c r="O13" s="150"/>
    </row>
    <row r="14" spans="1:15" ht="15" customHeight="1" thickBot="1" x14ac:dyDescent="0.6">
      <c r="C14" s="93"/>
      <c r="D14" s="1" t="s">
        <v>6</v>
      </c>
    </row>
    <row r="15" spans="1:15" ht="15" customHeight="1" thickBot="1" x14ac:dyDescent="0.6">
      <c r="C15" s="46"/>
      <c r="G15" s="150"/>
      <c r="I15" s="150"/>
      <c r="K15" s="150"/>
      <c r="M15" s="150"/>
      <c r="O15" s="150"/>
    </row>
    <row r="16" spans="1:15" ht="15" customHeight="1" thickBot="1" x14ac:dyDescent="0.6">
      <c r="C16" s="238"/>
      <c r="D16" s="1" t="s">
        <v>342</v>
      </c>
      <c r="G16" s="150"/>
      <c r="I16" s="150"/>
      <c r="K16" s="150"/>
      <c r="M16" s="150"/>
      <c r="O16" s="150"/>
    </row>
    <row r="17" spans="3:15" ht="15" customHeight="1" x14ac:dyDescent="0.55000000000000004">
      <c r="C17" s="46"/>
      <c r="G17" s="150"/>
      <c r="I17" s="150"/>
      <c r="K17" s="150"/>
      <c r="M17" s="150"/>
      <c r="O17" s="150"/>
    </row>
    <row r="18" spans="3:15" ht="15" customHeight="1" x14ac:dyDescent="0.55000000000000004">
      <c r="C18" s="52" t="s">
        <v>7</v>
      </c>
      <c r="D18" s="1" t="s">
        <v>371</v>
      </c>
    </row>
    <row r="19" spans="3:15" ht="15" customHeight="1" x14ac:dyDescent="0.55000000000000004">
      <c r="C19" s="46"/>
      <c r="G19" s="150"/>
      <c r="I19" s="150"/>
      <c r="K19" s="150"/>
      <c r="M19" s="150"/>
      <c r="O19" s="150"/>
    </row>
    <row r="20" spans="3:15" ht="15" customHeight="1" x14ac:dyDescent="0.55000000000000004">
      <c r="C20" s="53" t="s">
        <v>8</v>
      </c>
      <c r="D20" s="1" t="s">
        <v>372</v>
      </c>
    </row>
    <row r="31" spans="3:15" ht="15" customHeight="1" x14ac:dyDescent="0.55000000000000004">
      <c r="C31" s="77" t="s">
        <v>383</v>
      </c>
      <c r="D31" s="78"/>
    </row>
    <row r="32" spans="3:15" ht="15" customHeight="1" x14ac:dyDescent="0.55000000000000004">
      <c r="C32" s="77" t="s">
        <v>9</v>
      </c>
      <c r="D32" s="114" t="s">
        <v>255</v>
      </c>
    </row>
  </sheetData>
  <sheetProtection sheet="1" objects="1" scenarios="1"/>
  <conditionalFormatting sqref="C18">
    <cfRule type="cellIs" dxfId="43" priority="6" operator="equal">
      <formula>"Yes"</formula>
    </cfRule>
    <cfRule type="cellIs" dxfId="42" priority="7" operator="equal">
      <formula>"No"</formula>
    </cfRule>
  </conditionalFormatting>
  <conditionalFormatting sqref="C20">
    <cfRule type="cellIs" dxfId="41" priority="4" operator="equal">
      <formula>"Yes"</formula>
    </cfRule>
    <cfRule type="cellIs" dxfId="40" priority="5" operator="equal">
      <formula>"No"</formula>
    </cfRule>
  </conditionalFormatting>
  <hyperlinks>
    <hyperlink ref="D32" r:id="rId1" xr:uid="{00000000-0004-0000-0000-000000000000}"/>
  </hyperlinks>
  <pageMargins left="0.7" right="0.7" top="0.75" bottom="0.75" header="0.3" footer="0.3"/>
  <pageSetup paperSize="8" orientation="landscape" r:id="rId2"/>
  <headerFooter>
    <oddFooter>&amp;C&amp;1#&amp;"Arial Black"&amp;10&amp;K000000OFFICIAL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fitToPage="1"/>
  </sheetPr>
  <dimension ref="A2:P77"/>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453125" style="1" customWidth="1"/>
    <col min="5" max="5" width="5.7265625" style="1" customWidth="1"/>
    <col min="6" max="6" width="23.26953125" customWidth="1"/>
    <col min="7" max="7" width="5.7265625" style="150" customWidth="1"/>
    <col min="8" max="8" width="23.26953125" customWidth="1"/>
    <col min="9" max="9" width="5.7265625" style="150" customWidth="1"/>
    <col min="10" max="10" width="23.26953125" customWidth="1"/>
    <col min="11" max="11" width="5.7265625" style="150" customWidth="1"/>
    <col min="12" max="12" width="23.26953125" customWidth="1"/>
    <col min="13" max="13" width="5.7265625" style="150" customWidth="1"/>
    <col min="14" max="14" width="23.26953125" customWidth="1"/>
    <col min="15" max="15" width="5.7265625" style="150" customWidth="1"/>
    <col min="16" max="16" width="23.26953125" customWidth="1"/>
  </cols>
  <sheetData>
    <row r="2" spans="1:16" ht="23.5" x14ac:dyDescent="0.55000000000000004">
      <c r="A2" s="440">
        <f>Inputs!$D$3</f>
        <v>0</v>
      </c>
      <c r="B2" s="441"/>
      <c r="C2" s="441"/>
      <c r="D2" s="441"/>
      <c r="E2" s="441"/>
      <c r="F2" s="441"/>
      <c r="G2" s="442"/>
      <c r="H2" s="150"/>
      <c r="I2"/>
      <c r="J2" s="150"/>
      <c r="K2"/>
      <c r="L2" s="150"/>
      <c r="M2"/>
      <c r="N2" s="150"/>
      <c r="O2"/>
    </row>
    <row r="4" spans="1:16" s="16" customFormat="1" ht="23.5" x14ac:dyDescent="0.55000000000000004">
      <c r="A4" s="263" t="s">
        <v>106</v>
      </c>
      <c r="B4" s="47"/>
      <c r="D4" s="17"/>
      <c r="E4" s="17"/>
      <c r="M4" s="17"/>
      <c r="O4" s="17"/>
    </row>
    <row r="5" spans="1:16" s="16" customFormat="1" ht="23.5" x14ac:dyDescent="0.55000000000000004">
      <c r="A5" s="39"/>
      <c r="B5" s="262" t="s">
        <v>107</v>
      </c>
      <c r="D5" s="17"/>
      <c r="E5" s="17"/>
      <c r="H5" s="2"/>
      <c r="M5" s="17"/>
      <c r="O5" s="17"/>
    </row>
    <row r="6" spans="1:16" s="16" customFormat="1" ht="15" customHeight="1" x14ac:dyDescent="0.55000000000000004">
      <c r="A6" s="39"/>
      <c r="B6" s="47"/>
      <c r="D6" s="17"/>
      <c r="E6" s="17"/>
      <c r="H6" s="2"/>
      <c r="M6" s="17"/>
      <c r="O6" s="17"/>
    </row>
    <row r="7" spans="1:16" ht="15" customHeight="1" x14ac:dyDescent="0.55000000000000004">
      <c r="C7" s="453" t="s">
        <v>108</v>
      </c>
      <c r="D7" s="453"/>
      <c r="E7" s="453"/>
      <c r="F7" s="453"/>
      <c r="G7" s="18"/>
      <c r="H7" s="18"/>
      <c r="I7" s="18"/>
      <c r="J7" s="483" t="s">
        <v>109</v>
      </c>
      <c r="K7" s="483"/>
      <c r="L7" s="483"/>
      <c r="M7" s="18"/>
      <c r="N7" s="18"/>
    </row>
    <row r="8" spans="1:16" ht="15" customHeight="1" x14ac:dyDescent="0.55000000000000004">
      <c r="C8" s="453"/>
      <c r="D8" s="453"/>
      <c r="E8" s="453"/>
      <c r="F8" s="453"/>
      <c r="I8"/>
      <c r="J8" t="s">
        <v>110</v>
      </c>
      <c r="K8"/>
      <c r="L8" t="s">
        <v>111</v>
      </c>
    </row>
    <row r="9" spans="1:16" ht="15" customHeight="1" x14ac:dyDescent="0.55000000000000004">
      <c r="C9" s="453"/>
      <c r="D9" s="453"/>
      <c r="E9" s="453"/>
      <c r="F9" s="453"/>
      <c r="I9"/>
      <c r="J9" s="84">
        <v>0.8</v>
      </c>
      <c r="K9"/>
      <c r="L9" s="84">
        <v>0.2</v>
      </c>
    </row>
    <row r="10" spans="1:16" ht="15" customHeight="1" x14ac:dyDescent="0.55000000000000004">
      <c r="D10" s="18"/>
      <c r="E10" s="18"/>
      <c r="F10" s="18"/>
      <c r="I10"/>
    </row>
    <row r="11" spans="1:16" ht="15" customHeight="1" x14ac:dyDescent="0.55000000000000004">
      <c r="D11" s="443" t="s">
        <v>112</v>
      </c>
      <c r="F11" s="453" t="s">
        <v>113</v>
      </c>
      <c r="H11" s="443" t="s">
        <v>114</v>
      </c>
      <c r="J11" s="478" t="s">
        <v>115</v>
      </c>
      <c r="K11" s="478"/>
      <c r="L11" s="478"/>
      <c r="N11" s="478" t="s">
        <v>116</v>
      </c>
      <c r="O11" s="478"/>
      <c r="P11" s="478"/>
    </row>
    <row r="12" spans="1:16" ht="15" customHeight="1" thickBot="1" x14ac:dyDescent="0.6">
      <c r="C12" s="150" t="s">
        <v>117</v>
      </c>
      <c r="D12" s="443"/>
      <c r="F12" s="453"/>
      <c r="H12" s="443"/>
      <c r="J12" s="18" t="s">
        <v>110</v>
      </c>
      <c r="K12" s="147"/>
      <c r="L12" s="18" t="s">
        <v>111</v>
      </c>
      <c r="N12" s="150" t="s">
        <v>91</v>
      </c>
      <c r="P12" s="150" t="s">
        <v>92</v>
      </c>
    </row>
    <row r="13" spans="1:16" ht="15" customHeight="1" thickBot="1" x14ac:dyDescent="0.6">
      <c r="C13" s="150" t="s">
        <v>118</v>
      </c>
      <c r="D13" s="19">
        <v>0.15</v>
      </c>
      <c r="E13" s="147" t="s">
        <v>30</v>
      </c>
      <c r="F13" s="79">
        <f>Inputs!$J52</f>
        <v>75547</v>
      </c>
      <c r="G13" s="150" t="s">
        <v>29</v>
      </c>
      <c r="H13" s="11">
        <f>D13*F13</f>
        <v>11332.05</v>
      </c>
      <c r="J13" s="11">
        <f>$H13*J$9</f>
        <v>9065.64</v>
      </c>
      <c r="L13" s="11">
        <f>$H13*L$9</f>
        <v>2266.41</v>
      </c>
      <c r="N13" s="85">
        <v>10</v>
      </c>
      <c r="P13" s="85">
        <v>11.33</v>
      </c>
    </row>
    <row r="14" spans="1:16" ht="15" customHeight="1" thickBot="1" x14ac:dyDescent="0.6">
      <c r="C14" s="150" t="s">
        <v>119</v>
      </c>
      <c r="D14" s="19">
        <v>0.15</v>
      </c>
      <c r="E14" s="147" t="s">
        <v>30</v>
      </c>
      <c r="F14" s="79">
        <f>Inputs!$J53</f>
        <v>77408</v>
      </c>
      <c r="G14" s="150" t="s">
        <v>29</v>
      </c>
      <c r="H14" s="11">
        <f>D14*F14</f>
        <v>11611.199999999999</v>
      </c>
      <c r="J14" s="11">
        <f>$H14*J$9</f>
        <v>9288.9599999999991</v>
      </c>
      <c r="L14" s="11">
        <f>$H14*L$9</f>
        <v>2322.2399999999998</v>
      </c>
      <c r="N14" s="85">
        <v>5</v>
      </c>
      <c r="P14" s="85">
        <v>5.67</v>
      </c>
    </row>
    <row r="15" spans="1:16" ht="15" customHeight="1" thickBot="1" x14ac:dyDescent="0.6">
      <c r="C15" s="150" t="s">
        <v>120</v>
      </c>
      <c r="D15" s="19">
        <v>0.15</v>
      </c>
      <c r="E15" s="147" t="s">
        <v>30</v>
      </c>
      <c r="F15" s="79">
        <f>Inputs!$J54</f>
        <v>75859</v>
      </c>
      <c r="G15" s="150" t="s">
        <v>29</v>
      </c>
      <c r="H15" s="11">
        <f>D15*F15</f>
        <v>11378.85</v>
      </c>
      <c r="J15" s="11">
        <f>$H15*J$9</f>
        <v>9103.08</v>
      </c>
      <c r="L15" s="11">
        <f>$H15*L$9</f>
        <v>2275.77</v>
      </c>
      <c r="N15" s="85">
        <v>5</v>
      </c>
      <c r="P15" s="85">
        <v>5.67</v>
      </c>
    </row>
    <row r="16" spans="1:16" ht="15" customHeight="1" x14ac:dyDescent="0.55000000000000004">
      <c r="C16" s="14"/>
      <c r="D16" s="13"/>
      <c r="E16" s="13"/>
      <c r="F16" s="14"/>
      <c r="G16" s="26"/>
      <c r="H16" s="26"/>
      <c r="I16" s="26"/>
      <c r="J16" s="14"/>
      <c r="K16" s="15"/>
      <c r="L16" s="14"/>
      <c r="M16" s="15"/>
      <c r="N16" s="60"/>
      <c r="O16" s="15"/>
      <c r="P16" s="14"/>
    </row>
    <row r="17" spans="3:16" ht="15" customHeight="1" x14ac:dyDescent="0.55000000000000004">
      <c r="C17" s="446" t="s">
        <v>121</v>
      </c>
      <c r="D17" s="30"/>
      <c r="E17" s="25"/>
      <c r="F17" s="24"/>
      <c r="G17" s="27"/>
      <c r="H17" s="27"/>
      <c r="I17" s="27"/>
      <c r="J17" s="24"/>
      <c r="K17" s="23"/>
      <c r="L17" s="24"/>
      <c r="M17" s="23"/>
      <c r="N17" s="24"/>
      <c r="O17" s="23"/>
      <c r="P17" s="24"/>
    </row>
    <row r="18" spans="3:16" ht="15" customHeight="1" x14ac:dyDescent="0.55000000000000004">
      <c r="C18" s="447"/>
      <c r="D18" s="450" t="s">
        <v>79</v>
      </c>
      <c r="E18" s="28"/>
      <c r="F18" s="480" t="s">
        <v>122</v>
      </c>
      <c r="H18" s="443" t="s">
        <v>123</v>
      </c>
    </row>
    <row r="19" spans="3:16" ht="15" customHeight="1" thickBot="1" x14ac:dyDescent="0.6">
      <c r="C19" s="447"/>
      <c r="D19" s="450"/>
      <c r="E19" s="150"/>
      <c r="F19" s="480"/>
      <c r="H19" s="443"/>
      <c r="J19" t="s">
        <v>124</v>
      </c>
    </row>
    <row r="20" spans="3:16" ht="15" customHeight="1" thickBot="1" x14ac:dyDescent="0.6">
      <c r="C20" s="447"/>
      <c r="D20" s="450"/>
      <c r="E20" s="150"/>
      <c r="F20" s="11">
        <f>$J$13</f>
        <v>9065.64</v>
      </c>
      <c r="G20" s="150" t="s">
        <v>30</v>
      </c>
      <c r="H20" s="80" t="e">
        <f>Inputs!$J$32</f>
        <v>#N/A</v>
      </c>
      <c r="I20" s="150" t="s">
        <v>29</v>
      </c>
      <c r="J20" s="11" t="e">
        <f>F20*H20</f>
        <v>#N/A</v>
      </c>
    </row>
    <row r="21" spans="3:16" ht="15" customHeight="1" x14ac:dyDescent="0.55000000000000004">
      <c r="C21" s="447"/>
      <c r="D21" s="31"/>
      <c r="E21" s="15"/>
      <c r="F21" s="15"/>
      <c r="G21" s="15"/>
      <c r="H21" s="14"/>
      <c r="I21"/>
      <c r="J21" s="479" t="s">
        <v>65</v>
      </c>
    </row>
    <row r="22" spans="3:16" ht="15" customHeight="1" x14ac:dyDescent="0.55000000000000004">
      <c r="C22" s="447"/>
      <c r="D22" s="32"/>
      <c r="E22" s="28"/>
      <c r="F22" s="28"/>
      <c r="G22" s="28"/>
      <c r="I22"/>
      <c r="J22" s="479"/>
    </row>
    <row r="23" spans="3:16" ht="15" customHeight="1" thickBot="1" x14ac:dyDescent="0.6">
      <c r="C23" s="447"/>
      <c r="D23" s="445" t="s">
        <v>83</v>
      </c>
      <c r="E23" s="28"/>
      <c r="F23" t="s">
        <v>125</v>
      </c>
      <c r="H23" s="149" t="s">
        <v>126</v>
      </c>
      <c r="J23" t="s">
        <v>127</v>
      </c>
    </row>
    <row r="24" spans="3:16" ht="15" customHeight="1" thickBot="1" x14ac:dyDescent="0.6">
      <c r="C24" s="447"/>
      <c r="D24" s="445"/>
      <c r="E24" s="150"/>
      <c r="F24" s="11">
        <f>$L$13</f>
        <v>2266.41</v>
      </c>
      <c r="G24" s="150" t="s">
        <v>30</v>
      </c>
      <c r="H24" s="80" t="e">
        <f>Inputs!$J$40</f>
        <v>#N/A</v>
      </c>
      <c r="I24" s="150" t="s">
        <v>29</v>
      </c>
      <c r="J24" s="11" t="e">
        <f>F24*H24</f>
        <v>#N/A</v>
      </c>
    </row>
    <row r="25" spans="3:16" ht="15" customHeight="1" x14ac:dyDescent="0.55000000000000004">
      <c r="C25" s="447"/>
      <c r="D25" s="31"/>
      <c r="E25" s="13"/>
      <c r="F25" s="13"/>
      <c r="G25" s="13"/>
      <c r="H25" s="14"/>
      <c r="I25"/>
      <c r="J25" s="479" t="s">
        <v>29</v>
      </c>
    </row>
    <row r="26" spans="3:16" ht="15" customHeight="1" x14ac:dyDescent="0.55000000000000004">
      <c r="C26" s="447"/>
      <c r="D26" s="32"/>
      <c r="F26" s="1"/>
      <c r="G26" s="1"/>
      <c r="I26"/>
      <c r="J26" s="479"/>
    </row>
    <row r="27" spans="3:16" ht="15" customHeight="1" x14ac:dyDescent="0.55000000000000004">
      <c r="C27" s="447"/>
      <c r="D27" s="445" t="s">
        <v>128</v>
      </c>
      <c r="F27" s="1"/>
      <c r="G27" s="1"/>
      <c r="I27"/>
      <c r="J27" t="s">
        <v>129</v>
      </c>
      <c r="L27" t="s">
        <v>363</v>
      </c>
      <c r="N27" t="s">
        <v>360</v>
      </c>
    </row>
    <row r="28" spans="3:16" ht="15" customHeight="1" x14ac:dyDescent="0.55000000000000004">
      <c r="C28" s="447"/>
      <c r="D28" s="445"/>
      <c r="F28" s="1"/>
      <c r="G28" s="1"/>
      <c r="I28"/>
      <c r="J28" s="11" t="e">
        <f>ROUND(J20+J24,2)</f>
        <v>#N/A</v>
      </c>
      <c r="K28" s="150" t="s">
        <v>30</v>
      </c>
      <c r="L28" s="61" t="e">
        <f>IF(Inputs!$D$5=$N$12,$N$13,IF(Inputs!$D$5=$P$12,$P$13,"Error"))</f>
        <v>#N/A</v>
      </c>
      <c r="M28" s="150" t="s">
        <v>29</v>
      </c>
      <c r="N28" s="11" t="e">
        <f>ROUND(J28*L28,2)</f>
        <v>#N/A</v>
      </c>
    </row>
    <row r="29" spans="3:16" ht="15" customHeight="1" x14ac:dyDescent="0.55000000000000004">
      <c r="C29" s="447"/>
      <c r="D29" s="445"/>
      <c r="F29" s="1"/>
      <c r="G29" s="1"/>
      <c r="I29"/>
      <c r="K29"/>
      <c r="L29" s="38" t="e">
        <f>CONCATENATE("(",Inputs!$D$5,")")</f>
        <v>#N/A</v>
      </c>
      <c r="N29" s="150"/>
    </row>
    <row r="30" spans="3:16" ht="15" customHeight="1" x14ac:dyDescent="0.55000000000000004">
      <c r="C30" s="447"/>
      <c r="D30" s="445"/>
      <c r="E30"/>
      <c r="G30"/>
      <c r="M30"/>
    </row>
    <row r="31" spans="3:16" ht="15" customHeight="1" x14ac:dyDescent="0.55000000000000004">
      <c r="C31" s="448"/>
      <c r="D31" s="33"/>
      <c r="E31" s="14"/>
      <c r="F31" s="14"/>
      <c r="G31" s="14"/>
      <c r="H31" s="14"/>
      <c r="I31" s="14"/>
      <c r="J31" s="14"/>
      <c r="K31" s="14"/>
      <c r="L31" s="14"/>
      <c r="M31"/>
      <c r="O31"/>
    </row>
    <row r="32" spans="3:16" ht="15" customHeight="1" x14ac:dyDescent="0.55000000000000004">
      <c r="C32" s="446" t="s">
        <v>130</v>
      </c>
      <c r="D32" s="30"/>
      <c r="E32" s="25"/>
      <c r="F32" s="24"/>
      <c r="G32" s="27"/>
      <c r="H32" s="27"/>
      <c r="I32" s="27"/>
      <c r="J32" s="24"/>
      <c r="K32" s="23"/>
      <c r="L32" s="24"/>
      <c r="M32"/>
      <c r="O32"/>
    </row>
    <row r="33" spans="3:15" ht="15" customHeight="1" x14ac:dyDescent="0.55000000000000004">
      <c r="C33" s="447"/>
      <c r="D33" s="450" t="s">
        <v>79</v>
      </c>
      <c r="F33" s="480" t="s">
        <v>122</v>
      </c>
      <c r="H33" s="443" t="s">
        <v>123</v>
      </c>
      <c r="I33" s="28"/>
      <c r="K33"/>
      <c r="M33"/>
    </row>
    <row r="34" spans="3:15" ht="15" customHeight="1" thickBot="1" x14ac:dyDescent="0.6">
      <c r="C34" s="447"/>
      <c r="D34" s="450"/>
      <c r="F34" s="480"/>
      <c r="H34" s="443"/>
      <c r="J34" t="s">
        <v>124</v>
      </c>
      <c r="K34"/>
      <c r="M34"/>
    </row>
    <row r="35" spans="3:15" ht="15" customHeight="1" thickBot="1" x14ac:dyDescent="0.6">
      <c r="C35" s="447"/>
      <c r="D35" s="450"/>
      <c r="F35" s="11">
        <f>$J$14</f>
        <v>9288.9599999999991</v>
      </c>
      <c r="G35" s="150" t="s">
        <v>30</v>
      </c>
      <c r="H35" s="80" t="e">
        <f>Inputs!$J$32</f>
        <v>#N/A</v>
      </c>
      <c r="I35" s="150" t="s">
        <v>29</v>
      </c>
      <c r="J35" s="11" t="e">
        <f>F35*H35</f>
        <v>#N/A</v>
      </c>
      <c r="K35"/>
      <c r="M35"/>
    </row>
    <row r="36" spans="3:15" ht="15" customHeight="1" x14ac:dyDescent="0.55000000000000004">
      <c r="C36" s="447"/>
      <c r="D36" s="31"/>
      <c r="E36" s="13"/>
      <c r="F36" s="15"/>
      <c r="G36" s="14"/>
      <c r="H36" s="14"/>
      <c r="J36" s="479" t="s">
        <v>65</v>
      </c>
      <c r="K36"/>
      <c r="M36"/>
    </row>
    <row r="37" spans="3:15" ht="15" customHeight="1" x14ac:dyDescent="0.55000000000000004">
      <c r="C37" s="447"/>
      <c r="D37" s="32"/>
      <c r="F37" s="28"/>
      <c r="J37" s="479"/>
      <c r="K37"/>
      <c r="M37"/>
    </row>
    <row r="38" spans="3:15" ht="15" customHeight="1" thickBot="1" x14ac:dyDescent="0.6">
      <c r="C38" s="447"/>
      <c r="D38" s="445" t="s">
        <v>83</v>
      </c>
      <c r="F38" s="5" t="s">
        <v>125</v>
      </c>
      <c r="H38" s="149" t="s">
        <v>126</v>
      </c>
      <c r="J38" t="s">
        <v>127</v>
      </c>
      <c r="K38"/>
      <c r="M38"/>
    </row>
    <row r="39" spans="3:15" ht="15" customHeight="1" thickBot="1" x14ac:dyDescent="0.6">
      <c r="C39" s="447"/>
      <c r="D39" s="445"/>
      <c r="F39" s="11">
        <f>$L$14</f>
        <v>2322.2399999999998</v>
      </c>
      <c r="G39" s="150" t="s">
        <v>30</v>
      </c>
      <c r="H39" s="80" t="e">
        <f>Inputs!$J$40</f>
        <v>#N/A</v>
      </c>
      <c r="I39" s="150" t="s">
        <v>29</v>
      </c>
      <c r="J39" s="11" t="e">
        <f>F39*H39</f>
        <v>#N/A</v>
      </c>
      <c r="K39"/>
      <c r="M39"/>
    </row>
    <row r="40" spans="3:15" ht="15" customHeight="1" x14ac:dyDescent="0.55000000000000004">
      <c r="C40" s="447"/>
      <c r="D40" s="31"/>
      <c r="E40" s="13"/>
      <c r="F40" s="14"/>
      <c r="G40" s="14"/>
      <c r="H40" s="14"/>
      <c r="J40" s="479" t="s">
        <v>29</v>
      </c>
    </row>
    <row r="41" spans="3:15" ht="15" customHeight="1" x14ac:dyDescent="0.55000000000000004">
      <c r="C41" s="447"/>
      <c r="D41" s="32"/>
      <c r="G41"/>
      <c r="J41" s="479"/>
    </row>
    <row r="42" spans="3:15" ht="15" customHeight="1" x14ac:dyDescent="0.55000000000000004">
      <c r="C42" s="447"/>
      <c r="D42" s="445" t="s">
        <v>131</v>
      </c>
      <c r="G42"/>
      <c r="J42" t="s">
        <v>129</v>
      </c>
      <c r="L42" t="s">
        <v>363</v>
      </c>
      <c r="N42" t="s">
        <v>361</v>
      </c>
    </row>
    <row r="43" spans="3:15" ht="15" customHeight="1" x14ac:dyDescent="0.55000000000000004">
      <c r="C43" s="447"/>
      <c r="D43" s="445"/>
      <c r="G43"/>
      <c r="J43" s="11" t="e">
        <f>ROUND(J35+J39,2)</f>
        <v>#N/A</v>
      </c>
      <c r="K43" s="150" t="s">
        <v>30</v>
      </c>
      <c r="L43" s="61" t="e">
        <f>IF(Inputs!$D$5=$N$12,$N$14,IF(Inputs!$D$5=$P$12,$P$14,"Error"))</f>
        <v>#N/A</v>
      </c>
      <c r="M43" s="150" t="s">
        <v>29</v>
      </c>
      <c r="N43" s="11" t="e">
        <f>ROUND(J43*L43,2)</f>
        <v>#N/A</v>
      </c>
    </row>
    <row r="44" spans="3:15" ht="15" customHeight="1" x14ac:dyDescent="0.55000000000000004">
      <c r="C44" s="447"/>
      <c r="D44" s="445"/>
      <c r="G44"/>
      <c r="J44" s="150"/>
      <c r="K44"/>
      <c r="L44" s="38" t="e">
        <f>CONCATENATE("(",Inputs!$D$5,")")</f>
        <v>#N/A</v>
      </c>
      <c r="O44"/>
    </row>
    <row r="45" spans="3:15" ht="15" customHeight="1" x14ac:dyDescent="0.55000000000000004">
      <c r="C45" s="447"/>
      <c r="D45" s="445"/>
      <c r="E45"/>
      <c r="G45"/>
      <c r="M45"/>
    </row>
    <row r="46" spans="3:15" ht="15" customHeight="1" x14ac:dyDescent="0.55000000000000004">
      <c r="C46" s="448"/>
      <c r="D46" s="33"/>
      <c r="E46" s="14"/>
      <c r="F46" s="14"/>
      <c r="G46" s="14"/>
      <c r="H46" s="14"/>
      <c r="I46" s="14"/>
      <c r="J46" s="14"/>
      <c r="K46" s="14"/>
      <c r="L46" s="14"/>
      <c r="M46"/>
      <c r="O46"/>
    </row>
    <row r="47" spans="3:15" ht="15" customHeight="1" x14ac:dyDescent="0.55000000000000004">
      <c r="C47" s="465" t="s">
        <v>132</v>
      </c>
      <c r="D47" s="30"/>
      <c r="E47" s="25"/>
      <c r="F47" s="24"/>
      <c r="G47" s="27"/>
      <c r="H47" s="27"/>
      <c r="I47" s="27"/>
      <c r="J47" s="24"/>
      <c r="K47" s="23"/>
      <c r="L47" s="24"/>
      <c r="M47"/>
      <c r="O47"/>
    </row>
    <row r="48" spans="3:15" ht="15" customHeight="1" x14ac:dyDescent="0.55000000000000004">
      <c r="C48" s="466"/>
      <c r="D48" s="450" t="s">
        <v>79</v>
      </c>
      <c r="F48" s="480" t="s">
        <v>122</v>
      </c>
      <c r="H48" s="443" t="s">
        <v>123</v>
      </c>
      <c r="I48" s="28"/>
      <c r="K48"/>
      <c r="M48"/>
    </row>
    <row r="49" spans="3:15" ht="15" customHeight="1" thickBot="1" x14ac:dyDescent="0.6">
      <c r="C49" s="466"/>
      <c r="D49" s="450"/>
      <c r="F49" s="480"/>
      <c r="H49" s="443"/>
      <c r="J49" t="s">
        <v>124</v>
      </c>
      <c r="K49"/>
      <c r="M49"/>
    </row>
    <row r="50" spans="3:15" ht="15" customHeight="1" thickBot="1" x14ac:dyDescent="0.6">
      <c r="C50" s="466"/>
      <c r="D50" s="450"/>
      <c r="F50" s="9">
        <f>$J$15</f>
        <v>9103.08</v>
      </c>
      <c r="G50" s="150" t="s">
        <v>30</v>
      </c>
      <c r="H50" s="80" t="e">
        <f>Inputs!$J$32</f>
        <v>#N/A</v>
      </c>
      <c r="I50" s="150" t="s">
        <v>29</v>
      </c>
      <c r="J50" s="11" t="e">
        <f>F50*H50</f>
        <v>#N/A</v>
      </c>
      <c r="K50"/>
      <c r="M50"/>
    </row>
    <row r="51" spans="3:15" ht="15" customHeight="1" x14ac:dyDescent="0.55000000000000004">
      <c r="C51" s="466"/>
      <c r="D51" s="31"/>
      <c r="E51" s="13"/>
      <c r="F51" s="15"/>
      <c r="G51" s="14"/>
      <c r="H51" s="14"/>
      <c r="J51" s="479" t="s">
        <v>65</v>
      </c>
      <c r="K51"/>
      <c r="M51"/>
    </row>
    <row r="52" spans="3:15" ht="15" customHeight="1" x14ac:dyDescent="0.55000000000000004">
      <c r="C52" s="466"/>
      <c r="D52" s="32"/>
      <c r="F52" s="28"/>
      <c r="J52" s="479"/>
      <c r="K52"/>
      <c r="M52"/>
    </row>
    <row r="53" spans="3:15" ht="15" customHeight="1" thickBot="1" x14ac:dyDescent="0.6">
      <c r="C53" s="466"/>
      <c r="D53" s="445" t="s">
        <v>83</v>
      </c>
      <c r="F53" s="5" t="s">
        <v>125</v>
      </c>
      <c r="H53" s="149" t="s">
        <v>126</v>
      </c>
      <c r="J53" t="s">
        <v>127</v>
      </c>
      <c r="K53"/>
      <c r="M53"/>
    </row>
    <row r="54" spans="3:15" ht="15" customHeight="1" thickBot="1" x14ac:dyDescent="0.6">
      <c r="C54" s="466"/>
      <c r="D54" s="445"/>
      <c r="F54" s="9">
        <f>$L$15</f>
        <v>2275.77</v>
      </c>
      <c r="G54" s="150" t="s">
        <v>30</v>
      </c>
      <c r="H54" s="80" t="e">
        <f>Inputs!$J$40</f>
        <v>#N/A</v>
      </c>
      <c r="I54" s="150" t="s">
        <v>29</v>
      </c>
      <c r="J54" s="11" t="e">
        <f>F54*H54</f>
        <v>#N/A</v>
      </c>
      <c r="K54"/>
      <c r="M54"/>
    </row>
    <row r="55" spans="3:15" ht="15" customHeight="1" x14ac:dyDescent="0.55000000000000004">
      <c r="C55" s="466"/>
      <c r="D55" s="34"/>
      <c r="E55" s="13"/>
      <c r="F55" s="14"/>
      <c r="G55" s="15"/>
      <c r="H55" s="14"/>
      <c r="J55" s="479" t="s">
        <v>29</v>
      </c>
    </row>
    <row r="56" spans="3:15" ht="15" customHeight="1" x14ac:dyDescent="0.55000000000000004">
      <c r="C56" s="466"/>
      <c r="D56" s="32"/>
      <c r="J56" s="479"/>
    </row>
    <row r="57" spans="3:15" ht="15" customHeight="1" x14ac:dyDescent="0.55000000000000004">
      <c r="C57" s="466"/>
      <c r="D57" s="445" t="s">
        <v>133</v>
      </c>
      <c r="J57" t="s">
        <v>129</v>
      </c>
      <c r="L57" t="s">
        <v>363</v>
      </c>
      <c r="N57" t="s">
        <v>362</v>
      </c>
    </row>
    <row r="58" spans="3:15" ht="15" customHeight="1" x14ac:dyDescent="0.55000000000000004">
      <c r="C58" s="466"/>
      <c r="D58" s="445"/>
      <c r="J58" s="11" t="e">
        <f>ROUND(J50+J54,2)</f>
        <v>#N/A</v>
      </c>
      <c r="K58" s="150" t="s">
        <v>30</v>
      </c>
      <c r="L58" s="61" t="e">
        <f>IF(Inputs!$D$5=$N$12,$N$15,IF(Inputs!$D$5=$P$12,$P$15,"Error"))</f>
        <v>#N/A</v>
      </c>
      <c r="M58" s="150" t="s">
        <v>29</v>
      </c>
      <c r="N58" s="11" t="e">
        <f>ROUND(J58*L58,2)</f>
        <v>#N/A</v>
      </c>
    </row>
    <row r="59" spans="3:15" ht="15" customHeight="1" x14ac:dyDescent="0.55000000000000004">
      <c r="C59" s="466"/>
      <c r="D59" s="445"/>
      <c r="J59" s="12"/>
      <c r="K59"/>
      <c r="L59" s="38" t="e">
        <f>CONCATENATE("(",Inputs!$D$5,")")</f>
        <v>#N/A</v>
      </c>
      <c r="N59" s="12"/>
    </row>
    <row r="60" spans="3:15" ht="15" customHeight="1" x14ac:dyDescent="0.55000000000000004">
      <c r="C60" s="466"/>
      <c r="D60" s="445"/>
      <c r="J60" s="12"/>
      <c r="K60"/>
      <c r="L60" s="38"/>
      <c r="N60" s="12"/>
    </row>
    <row r="61" spans="3:15" ht="15" customHeight="1" x14ac:dyDescent="0.55000000000000004">
      <c r="C61" s="467"/>
      <c r="D61" s="152"/>
      <c r="E61" s="13"/>
      <c r="F61" s="14"/>
      <c r="G61" s="15"/>
      <c r="H61" s="14"/>
      <c r="I61" s="15"/>
      <c r="J61" s="153"/>
      <c r="K61" s="14"/>
      <c r="L61" s="154"/>
      <c r="N61" s="12"/>
    </row>
    <row r="62" spans="3:15" ht="15" customHeight="1" thickBot="1" x14ac:dyDescent="0.6">
      <c r="D62"/>
      <c r="E62"/>
      <c r="G62"/>
      <c r="I62"/>
      <c r="K62"/>
      <c r="N62" s="12"/>
    </row>
    <row r="63" spans="3:15" ht="15" customHeight="1" thickTop="1" x14ac:dyDescent="0.55000000000000004">
      <c r="D63"/>
      <c r="E63"/>
      <c r="G63"/>
      <c r="I63" s="241"/>
      <c r="J63" s="242"/>
      <c r="K63" s="243"/>
      <c r="L63" s="242"/>
      <c r="M63" s="243"/>
      <c r="N63" s="244"/>
      <c r="O63" s="245"/>
    </row>
    <row r="64" spans="3:15" ht="15" customHeight="1" x14ac:dyDescent="0.55000000000000004">
      <c r="D64"/>
      <c r="E64"/>
      <c r="G64"/>
      <c r="I64" s="246"/>
      <c r="J64" s="481" t="str">
        <f>B5</f>
        <v>Enhanced MCH - Base funding</v>
      </c>
      <c r="K64" s="256"/>
      <c r="L64" s="257"/>
      <c r="M64" s="129"/>
      <c r="N64" s="128" t="s">
        <v>335</v>
      </c>
      <c r="O64" s="247"/>
    </row>
    <row r="65" spans="4:16" ht="15" customHeight="1" x14ac:dyDescent="0.55000000000000004">
      <c r="D65"/>
      <c r="E65"/>
      <c r="G65"/>
      <c r="I65" s="246"/>
      <c r="J65" s="481"/>
      <c r="K65" s="256"/>
      <c r="L65" s="258" t="s">
        <v>327</v>
      </c>
      <c r="M65" s="129"/>
      <c r="N65" s="248" t="e">
        <f>ROUND(N28+N43+N58,0)</f>
        <v>#N/A</v>
      </c>
      <c r="O65" s="247"/>
    </row>
    <row r="66" spans="4:16" ht="15" customHeight="1" x14ac:dyDescent="0.55000000000000004">
      <c r="D66"/>
      <c r="E66"/>
      <c r="G66"/>
      <c r="I66" s="246"/>
      <c r="J66" s="481"/>
      <c r="K66" s="256"/>
      <c r="L66" s="258"/>
      <c r="M66" s="129"/>
      <c r="N66" s="195"/>
      <c r="O66" s="247"/>
    </row>
    <row r="67" spans="4:16" ht="15" customHeight="1" x14ac:dyDescent="0.55000000000000004">
      <c r="D67"/>
      <c r="E67"/>
      <c r="G67"/>
      <c r="I67" s="246"/>
      <c r="J67" s="481"/>
      <c r="K67" s="256"/>
      <c r="L67" s="258"/>
      <c r="M67" s="129"/>
      <c r="N67" s="482" t="s">
        <v>30</v>
      </c>
      <c r="O67" s="247"/>
    </row>
    <row r="68" spans="4:16" ht="15" customHeight="1" x14ac:dyDescent="0.55000000000000004">
      <c r="D68"/>
      <c r="E68"/>
      <c r="G68"/>
      <c r="I68" s="249"/>
      <c r="J68" s="481"/>
      <c r="K68" s="259"/>
      <c r="L68" s="260"/>
      <c r="M68" s="129"/>
      <c r="N68" s="482"/>
      <c r="O68" s="247"/>
    </row>
    <row r="69" spans="4:16" ht="15" customHeight="1" thickBot="1" x14ac:dyDescent="0.6">
      <c r="D69"/>
      <c r="E69"/>
      <c r="G69"/>
      <c r="I69" s="246"/>
      <c r="J69" s="481"/>
      <c r="K69" s="256"/>
      <c r="L69" s="258"/>
      <c r="M69" s="196"/>
      <c r="N69" s="128" t="s">
        <v>41</v>
      </c>
      <c r="O69" s="247"/>
    </row>
    <row r="70" spans="4:16" ht="15" customHeight="1" thickBot="1" x14ac:dyDescent="0.6">
      <c r="D70"/>
      <c r="E70"/>
      <c r="G70"/>
      <c r="I70" s="246"/>
      <c r="J70" s="481"/>
      <c r="K70" s="256"/>
      <c r="L70" s="258" t="s">
        <v>328</v>
      </c>
      <c r="M70" s="129"/>
      <c r="N70" s="270">
        <f>Inputs!$J$68</f>
        <v>126.38</v>
      </c>
      <c r="O70" s="247"/>
    </row>
    <row r="71" spans="4:16" ht="15" customHeight="1" x14ac:dyDescent="0.55000000000000004">
      <c r="D71"/>
      <c r="E71"/>
      <c r="G71"/>
      <c r="I71" s="246"/>
      <c r="J71" s="481"/>
      <c r="K71" s="256"/>
      <c r="L71" s="258"/>
      <c r="M71" s="197"/>
      <c r="N71" s="128"/>
      <c r="O71" s="250"/>
    </row>
    <row r="72" spans="4:16" ht="15" customHeight="1" x14ac:dyDescent="0.55000000000000004">
      <c r="D72"/>
      <c r="E72"/>
      <c r="G72"/>
      <c r="I72" s="246"/>
      <c r="J72" s="481"/>
      <c r="K72" s="256"/>
      <c r="L72" s="258"/>
      <c r="M72" s="129"/>
      <c r="N72" s="482" t="s">
        <v>29</v>
      </c>
      <c r="O72" s="250"/>
    </row>
    <row r="73" spans="4:16" ht="15" customHeight="1" x14ac:dyDescent="0.55000000000000004">
      <c r="D73"/>
      <c r="E73"/>
      <c r="G73"/>
      <c r="I73" s="246"/>
      <c r="J73" s="481"/>
      <c r="K73" s="256"/>
      <c r="L73" s="260"/>
      <c r="M73" s="129"/>
      <c r="N73" s="482"/>
      <c r="O73" s="250"/>
    </row>
    <row r="74" spans="4:16" ht="15" customHeight="1" x14ac:dyDescent="0.55000000000000004">
      <c r="E74"/>
      <c r="I74" s="251"/>
      <c r="J74" s="481"/>
      <c r="K74" s="261"/>
      <c r="L74" s="258"/>
      <c r="M74" s="129"/>
      <c r="N74" s="128" t="s">
        <v>140</v>
      </c>
      <c r="O74" s="247"/>
      <c r="P74" s="150"/>
    </row>
    <row r="75" spans="4:16" ht="15" customHeight="1" x14ac:dyDescent="0.55000000000000004">
      <c r="I75" s="246"/>
      <c r="J75" s="481"/>
      <c r="K75" s="256"/>
      <c r="L75" s="258" t="s">
        <v>329</v>
      </c>
      <c r="M75" s="129"/>
      <c r="N75" s="29" t="e">
        <f>ROUND(N65*N70,2)</f>
        <v>#N/A</v>
      </c>
      <c r="O75" s="247"/>
    </row>
    <row r="76" spans="4:16" ht="15" customHeight="1" thickBot="1" x14ac:dyDescent="0.6">
      <c r="I76" s="252"/>
      <c r="J76" s="253"/>
      <c r="K76" s="254"/>
      <c r="L76" s="253"/>
      <c r="M76" s="254"/>
      <c r="N76" s="253"/>
      <c r="O76" s="255"/>
    </row>
    <row r="77" spans="4:16" ht="15" customHeight="1" thickTop="1" x14ac:dyDescent="0.55000000000000004"/>
  </sheetData>
  <sheetProtection sheet="1" objects="1" scenarios="1"/>
  <mergeCells count="35">
    <mergeCell ref="J64:J75"/>
    <mergeCell ref="N67:N68"/>
    <mergeCell ref="N72:N73"/>
    <mergeCell ref="A2:G2"/>
    <mergeCell ref="D42:D45"/>
    <mergeCell ref="J55:J56"/>
    <mergeCell ref="F48:F49"/>
    <mergeCell ref="D57:D60"/>
    <mergeCell ref="C47:C61"/>
    <mergeCell ref="C7:F9"/>
    <mergeCell ref="J7:L7"/>
    <mergeCell ref="D11:D12"/>
    <mergeCell ref="D48:D50"/>
    <mergeCell ref="H48:H49"/>
    <mergeCell ref="J51:J52"/>
    <mergeCell ref="D53:D54"/>
    <mergeCell ref="C32:C46"/>
    <mergeCell ref="D33:D35"/>
    <mergeCell ref="H33:H34"/>
    <mergeCell ref="J36:J37"/>
    <mergeCell ref="D38:D39"/>
    <mergeCell ref="J40:J41"/>
    <mergeCell ref="F33:F34"/>
    <mergeCell ref="N11:P11"/>
    <mergeCell ref="C17:C31"/>
    <mergeCell ref="D18:D20"/>
    <mergeCell ref="H18:H19"/>
    <mergeCell ref="J21:J22"/>
    <mergeCell ref="D23:D24"/>
    <mergeCell ref="F18:F19"/>
    <mergeCell ref="F11:F12"/>
    <mergeCell ref="H11:H12"/>
    <mergeCell ref="J11:L11"/>
    <mergeCell ref="J25:J26"/>
    <mergeCell ref="D27:D30"/>
  </mergeCells>
  <conditionalFormatting sqref="I63:M76">
    <cfRule type="expression" dxfId="14" priority="1">
      <formula>$F$10="No"</formula>
    </cfRule>
  </conditionalFormatting>
  <pageMargins left="0.7" right="0.7" top="0.75" bottom="0.75" header="0.3" footer="0.3"/>
  <pageSetup paperSize="8" scale="85" fitToHeight="0" orientation="landscape" r:id="rId1"/>
  <headerFooter>
    <oddFooter>&amp;C&amp;1#&amp;"Arial Black"&amp;10&amp;K000000OFFICIAL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pageSetUpPr fitToPage="1"/>
  </sheetPr>
  <dimension ref="A2:P52"/>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453125" style="1" customWidth="1"/>
    <col min="5" max="5" width="5.7265625" style="1" customWidth="1"/>
    <col min="6" max="6" width="23.26953125" customWidth="1"/>
    <col min="7" max="7" width="5.7265625" style="150" customWidth="1"/>
    <col min="8" max="8" width="23.26953125" customWidth="1"/>
    <col min="9" max="9" width="5.7265625" style="150" customWidth="1"/>
    <col min="10" max="10" width="23.26953125" customWidth="1"/>
    <col min="11" max="11" width="5.7265625" style="150" customWidth="1"/>
    <col min="12" max="12" width="23.26953125" customWidth="1"/>
    <col min="13" max="13" width="5.7265625" style="150" customWidth="1"/>
    <col min="14" max="14" width="23.26953125" customWidth="1"/>
    <col min="15" max="15" width="5.7265625" style="150" customWidth="1"/>
    <col min="16" max="16" width="27.81640625" customWidth="1"/>
  </cols>
  <sheetData>
    <row r="2" spans="1:16" ht="23.5" x14ac:dyDescent="0.55000000000000004">
      <c r="A2" s="440">
        <f>Inputs!$D$3</f>
        <v>0</v>
      </c>
      <c r="B2" s="441"/>
      <c r="C2" s="441"/>
      <c r="D2" s="441"/>
      <c r="E2" s="441"/>
      <c r="F2" s="441"/>
      <c r="G2" s="442"/>
      <c r="H2" s="150"/>
      <c r="I2"/>
      <c r="J2" s="150"/>
      <c r="K2"/>
      <c r="L2" s="150"/>
      <c r="M2"/>
      <c r="N2" s="150"/>
      <c r="O2"/>
    </row>
    <row r="4" spans="1:16" s="16" customFormat="1" ht="23.5" x14ac:dyDescent="0.55000000000000004">
      <c r="A4" s="263" t="s">
        <v>106</v>
      </c>
      <c r="D4" s="17"/>
      <c r="E4" s="17"/>
      <c r="M4" s="17"/>
      <c r="O4" s="17"/>
    </row>
    <row r="5" spans="1:16" s="16" customFormat="1" ht="23.5" x14ac:dyDescent="0.55000000000000004">
      <c r="A5" s="39"/>
      <c r="B5" s="262" t="s">
        <v>339</v>
      </c>
      <c r="D5" s="17"/>
      <c r="E5" s="17"/>
      <c r="H5" s="2"/>
      <c r="M5" s="17"/>
      <c r="O5" s="150"/>
      <c r="P5"/>
    </row>
    <row r="6" spans="1:16" s="16" customFormat="1" ht="15" customHeight="1" x14ac:dyDescent="0.55000000000000004">
      <c r="A6" s="39"/>
      <c r="B6" s="48"/>
      <c r="D6" s="17"/>
      <c r="E6" s="17"/>
      <c r="H6" s="2"/>
      <c r="M6" s="17"/>
      <c r="O6" s="150"/>
      <c r="P6"/>
    </row>
    <row r="7" spans="1:16" s="16" customFormat="1" ht="15" customHeight="1" x14ac:dyDescent="0.55000000000000004">
      <c r="A7" s="39"/>
      <c r="B7" s="48"/>
      <c r="D7" s="144" t="s">
        <v>280</v>
      </c>
      <c r="E7" s="1"/>
      <c r="F7" s="35" t="e">
        <f>VLOOKUP(Inputs!$D$3,lists!$A$1:$D$83,4,0)</f>
        <v>#N/A</v>
      </c>
      <c r="H7" s="51" t="e">
        <f>IF(F7="No","Skip this section","")</f>
        <v>#N/A</v>
      </c>
      <c r="M7" s="17"/>
      <c r="O7" s="150"/>
      <c r="P7"/>
    </row>
    <row r="8" spans="1:16" s="16" customFormat="1" ht="15" customHeight="1" x14ac:dyDescent="0.55000000000000004">
      <c r="A8" s="39"/>
      <c r="B8" s="48"/>
      <c r="D8" s="144"/>
      <c r="E8" s="1"/>
      <c r="F8" s="35"/>
      <c r="H8" s="51"/>
      <c r="M8" s="17"/>
      <c r="O8" s="150"/>
      <c r="P8"/>
    </row>
    <row r="9" spans="1:16" s="16" customFormat="1" ht="44.5" customHeight="1" x14ac:dyDescent="0.55000000000000004">
      <c r="A9" s="39"/>
      <c r="B9" s="48"/>
      <c r="C9" s="453" t="s">
        <v>367</v>
      </c>
      <c r="D9" s="453"/>
      <c r="E9" s="453"/>
      <c r="F9" s="453"/>
      <c r="G9" s="453"/>
      <c r="H9" s="453"/>
      <c r="I9" s="453"/>
      <c r="J9" s="453"/>
      <c r="K9" s="453"/>
      <c r="L9" s="453"/>
      <c r="M9" s="453"/>
      <c r="N9" s="453"/>
      <c r="O9" s="150"/>
      <c r="P9"/>
    </row>
    <row r="10" spans="1:16" ht="15" customHeight="1" x14ac:dyDescent="0.55000000000000004">
      <c r="D10"/>
      <c r="E10"/>
      <c r="G10"/>
      <c r="I10"/>
      <c r="K10"/>
      <c r="M10"/>
    </row>
    <row r="11" spans="1:16" ht="15" customHeight="1" x14ac:dyDescent="0.55000000000000004">
      <c r="C11" s="446" t="s">
        <v>297</v>
      </c>
      <c r="D11" s="30"/>
      <c r="E11" s="25"/>
      <c r="F11" s="24"/>
      <c r="G11" s="27"/>
      <c r="H11" s="27"/>
      <c r="I11" s="27"/>
      <c r="J11" s="27"/>
      <c r="K11" s="27"/>
      <c r="L11" s="27"/>
      <c r="M11" s="27"/>
      <c r="N11" s="27"/>
    </row>
    <row r="12" spans="1:16" ht="31.5" thickBot="1" x14ac:dyDescent="0.6">
      <c r="C12" s="447"/>
      <c r="D12" s="445" t="s">
        <v>365</v>
      </c>
      <c r="E12" s="127"/>
      <c r="F12" s="5" t="s">
        <v>298</v>
      </c>
      <c r="G12" s="156"/>
      <c r="H12" t="s">
        <v>41</v>
      </c>
      <c r="I12" s="156"/>
      <c r="J12" t="s">
        <v>364</v>
      </c>
      <c r="K12" s="156"/>
      <c r="L12" s="156"/>
      <c r="M12" s="156"/>
      <c r="N12" s="156"/>
    </row>
    <row r="13" spans="1:16" ht="15" customHeight="1" thickBot="1" x14ac:dyDescent="0.6">
      <c r="C13" s="447"/>
      <c r="D13" s="445"/>
      <c r="E13" s="127"/>
      <c r="F13" s="270">
        <f>Inputs!$J$94</f>
        <v>2919391.73</v>
      </c>
      <c r="G13" s="10" t="s">
        <v>28</v>
      </c>
      <c r="H13" s="270">
        <f>Inputs!$J$68</f>
        <v>126.38</v>
      </c>
      <c r="I13" s="157" t="s">
        <v>29</v>
      </c>
      <c r="J13" s="130">
        <f>ROUND(F13/H13,2)</f>
        <v>23100.11</v>
      </c>
      <c r="K13" s="156"/>
      <c r="L13" s="156"/>
      <c r="M13" s="156"/>
      <c r="N13" s="156"/>
    </row>
    <row r="14" spans="1:16" ht="15" customHeight="1" x14ac:dyDescent="0.55000000000000004">
      <c r="C14" s="447"/>
      <c r="D14" s="34"/>
      <c r="E14" s="13"/>
      <c r="F14" s="14"/>
      <c r="G14" s="26"/>
      <c r="H14" s="26"/>
      <c r="I14" s="156"/>
      <c r="J14" s="484" t="s">
        <v>30</v>
      </c>
      <c r="K14" s="156"/>
      <c r="L14" s="156"/>
      <c r="M14" s="156"/>
      <c r="N14" s="156"/>
    </row>
    <row r="15" spans="1:16" ht="15" customHeight="1" x14ac:dyDescent="0.55000000000000004">
      <c r="C15" s="447"/>
      <c r="D15" s="126"/>
      <c r="E15" s="127"/>
      <c r="F15" s="128"/>
      <c r="G15" s="156"/>
      <c r="H15" s="156"/>
      <c r="I15" s="156"/>
      <c r="J15" s="484"/>
      <c r="K15" s="156"/>
      <c r="L15" s="156"/>
      <c r="M15" s="156"/>
      <c r="N15" s="156"/>
    </row>
    <row r="16" spans="1:16" ht="33" customHeight="1" thickBot="1" x14ac:dyDescent="0.6">
      <c r="C16" s="447"/>
      <c r="D16" s="451" t="s">
        <v>307</v>
      </c>
      <c r="E16" s="131"/>
      <c r="F16" s="131" t="s">
        <v>268</v>
      </c>
      <c r="G16" s="475" t="s">
        <v>288</v>
      </c>
      <c r="H16" s="475"/>
      <c r="I16" s="475"/>
      <c r="J16" s="131" t="s">
        <v>289</v>
      </c>
      <c r="M16" s="131"/>
      <c r="N16" s="131"/>
    </row>
    <row r="17" spans="3:14" ht="18.649999999999999" customHeight="1" thickBot="1" x14ac:dyDescent="0.6">
      <c r="C17" s="447"/>
      <c r="D17" s="451"/>
      <c r="F17" s="103" t="e">
        <f>IF($F$7="No","n/a",Inputs!$J$20)</f>
        <v>#N/A</v>
      </c>
      <c r="G17" s="10" t="s">
        <v>28</v>
      </c>
      <c r="H17" s="103" t="e">
        <f>IF($F$7="No","n/a",Inputs!$J$60)</f>
        <v>#N/A</v>
      </c>
      <c r="I17" s="150" t="s">
        <v>29</v>
      </c>
      <c r="J17" s="140" t="e">
        <f>F17/H17</f>
        <v>#N/A</v>
      </c>
    </row>
    <row r="18" spans="3:14" ht="15" customHeight="1" x14ac:dyDescent="0.55000000000000004">
      <c r="C18" s="447"/>
      <c r="D18" s="451"/>
      <c r="E18" s="150"/>
      <c r="J18" s="484" t="s">
        <v>29</v>
      </c>
      <c r="M18"/>
    </row>
    <row r="19" spans="3:14" ht="15" customHeight="1" x14ac:dyDescent="0.55000000000000004">
      <c r="C19" s="447"/>
      <c r="D19" s="451"/>
      <c r="E19" s="150"/>
      <c r="J19" s="484"/>
      <c r="M19"/>
    </row>
    <row r="20" spans="3:14" ht="15" customHeight="1" thickBot="1" x14ac:dyDescent="0.6">
      <c r="C20" s="447"/>
      <c r="D20" s="451"/>
      <c r="E20" s="150"/>
      <c r="J20" t="s">
        <v>299</v>
      </c>
      <c r="L20" t="s">
        <v>41</v>
      </c>
      <c r="M20"/>
      <c r="N20" t="s">
        <v>300</v>
      </c>
    </row>
    <row r="21" spans="3:14" ht="15" customHeight="1" thickBot="1" x14ac:dyDescent="0.6">
      <c r="C21" s="447"/>
      <c r="D21" s="451"/>
      <c r="E21" s="150"/>
      <c r="J21" s="11" t="e">
        <f>J13*J17</f>
        <v>#N/A</v>
      </c>
      <c r="K21" s="150" t="s">
        <v>30</v>
      </c>
      <c r="L21" s="270">
        <f>Inputs!$J$68</f>
        <v>126.38</v>
      </c>
      <c r="M21" s="150" t="s">
        <v>29</v>
      </c>
      <c r="N21" s="3" t="e">
        <f>ROUND(J21*L21,2)</f>
        <v>#N/A</v>
      </c>
    </row>
    <row r="22" spans="3:14" ht="15" customHeight="1" x14ac:dyDescent="0.55000000000000004">
      <c r="C22" s="447"/>
      <c r="D22" s="451"/>
      <c r="E22" s="150"/>
      <c r="H22" s="69"/>
      <c r="I22" s="70"/>
      <c r="J22" s="71"/>
      <c r="K22" s="70"/>
      <c r="M22" s="49"/>
      <c r="N22" s="72" t="s">
        <v>66</v>
      </c>
    </row>
    <row r="23" spans="3:14" ht="15" customHeight="1" x14ac:dyDescent="0.55000000000000004">
      <c r="C23" s="447"/>
      <c r="D23" s="451"/>
      <c r="E23" s="150"/>
      <c r="J23" s="73" t="s">
        <v>68</v>
      </c>
      <c r="K23" s="68" t="s">
        <v>69</v>
      </c>
      <c r="L23" s="68" t="s">
        <v>69</v>
      </c>
      <c r="M23" s="68" t="s">
        <v>69</v>
      </c>
      <c r="N23" s="72" t="s">
        <v>67</v>
      </c>
    </row>
    <row r="24" spans="3:14" ht="15" customHeight="1" x14ac:dyDescent="0.55000000000000004">
      <c r="C24" s="447"/>
      <c r="D24" s="451"/>
      <c r="E24" s="150"/>
      <c r="J24" s="73" t="s">
        <v>70</v>
      </c>
      <c r="K24" s="70"/>
      <c r="L24" s="71"/>
    </row>
    <row r="25" spans="3:14" ht="15" customHeight="1" thickBot="1" x14ac:dyDescent="0.6">
      <c r="C25" s="447"/>
      <c r="D25" s="451"/>
      <c r="E25" s="150"/>
      <c r="H25" t="s">
        <v>303</v>
      </c>
      <c r="J25" t="s">
        <v>306</v>
      </c>
      <c r="L25" t="s">
        <v>304</v>
      </c>
      <c r="N25" t="s">
        <v>305</v>
      </c>
    </row>
    <row r="26" spans="3:14" ht="15" customHeight="1" thickBot="1" x14ac:dyDescent="0.6">
      <c r="C26" s="447"/>
      <c r="D26" s="451"/>
      <c r="E26" s="150"/>
      <c r="H26" s="113">
        <f>Inputs!$F$46</f>
        <v>0</v>
      </c>
      <c r="I26" s="150" t="s">
        <v>368</v>
      </c>
      <c r="J26" s="3" t="e">
        <f>N21</f>
        <v>#N/A</v>
      </c>
      <c r="K26" s="150" t="s">
        <v>29</v>
      </c>
      <c r="L26" s="150" t="e">
        <f>IF(J26&lt;(H26*0.9),"Yes","No")</f>
        <v>#N/A</v>
      </c>
      <c r="M26" s="271" t="s">
        <v>332</v>
      </c>
      <c r="N26" s="3" t="e">
        <f>IF(L26="Yes",(ROUND(H26*0.9,2)-J26),0)</f>
        <v>#N/A</v>
      </c>
    </row>
    <row r="27" spans="3:14" ht="15" customHeight="1" x14ac:dyDescent="0.55000000000000004">
      <c r="C27" s="447"/>
      <c r="D27" s="451"/>
      <c r="E27" s="150"/>
      <c r="F27" s="150"/>
      <c r="H27" s="150"/>
      <c r="J27" s="150"/>
      <c r="M27"/>
    </row>
    <row r="28" spans="3:14" ht="15" customHeight="1" x14ac:dyDescent="0.55000000000000004">
      <c r="C28" s="447"/>
      <c r="D28" s="451"/>
      <c r="E28" s="150"/>
      <c r="F28" s="150"/>
      <c r="H28" s="150"/>
      <c r="J28" s="150"/>
      <c r="M28"/>
    </row>
    <row r="29" spans="3:14" ht="15" customHeight="1" x14ac:dyDescent="0.55000000000000004">
      <c r="C29" s="447"/>
      <c r="D29" s="451"/>
      <c r="E29" s="150"/>
      <c r="F29" s="150"/>
      <c r="H29" s="150"/>
      <c r="J29" s="150"/>
      <c r="M29"/>
      <c r="N29" t="s">
        <v>366</v>
      </c>
    </row>
    <row r="30" spans="3:14" ht="15" customHeight="1" x14ac:dyDescent="0.55000000000000004">
      <c r="C30" s="447"/>
      <c r="D30" s="451"/>
      <c r="E30" s="150"/>
      <c r="F30" s="150"/>
      <c r="H30" s="150"/>
      <c r="J30" s="150"/>
      <c r="M30"/>
      <c r="N30" s="3" t="e">
        <f>N21+N26</f>
        <v>#N/A</v>
      </c>
    </row>
    <row r="31" spans="3:14" ht="15" customHeight="1" x14ac:dyDescent="0.55000000000000004">
      <c r="C31" s="447"/>
      <c r="D31" s="158"/>
      <c r="E31" s="15"/>
      <c r="F31" s="15"/>
      <c r="G31" s="15"/>
      <c r="H31" s="15"/>
      <c r="I31" s="15"/>
      <c r="J31" s="15"/>
      <c r="K31" s="15"/>
      <c r="L31" s="14"/>
      <c r="M31"/>
    </row>
    <row r="32" spans="3:14" ht="15" customHeight="1" x14ac:dyDescent="0.55000000000000004">
      <c r="C32" s="447"/>
      <c r="D32" s="145"/>
      <c r="E32" s="150"/>
      <c r="F32" s="150"/>
      <c r="H32" s="150"/>
      <c r="J32" s="150"/>
      <c r="M32"/>
    </row>
    <row r="33" spans="3:14" ht="15" customHeight="1" thickBot="1" x14ac:dyDescent="0.6">
      <c r="C33" s="447"/>
      <c r="D33" s="445" t="s">
        <v>309</v>
      </c>
      <c r="E33" s="150"/>
      <c r="H33" t="s">
        <v>366</v>
      </c>
      <c r="J33" t="s">
        <v>41</v>
      </c>
      <c r="L33" s="149" t="s">
        <v>308</v>
      </c>
      <c r="M33"/>
    </row>
    <row r="34" spans="3:14" ht="15" customHeight="1" thickBot="1" x14ac:dyDescent="0.6">
      <c r="C34" s="447"/>
      <c r="D34" s="445"/>
      <c r="E34" s="150"/>
      <c r="H34" s="3" t="e">
        <f>N30</f>
        <v>#N/A</v>
      </c>
      <c r="I34" s="10" t="s">
        <v>28</v>
      </c>
      <c r="J34" s="270">
        <f>Inputs!$J$68</f>
        <v>126.38</v>
      </c>
      <c r="K34" s="150" t="s">
        <v>29</v>
      </c>
      <c r="L34" s="11" t="e">
        <f>ROUNDUP(H34/J34,0)</f>
        <v>#N/A</v>
      </c>
      <c r="M34"/>
    </row>
    <row r="35" spans="3:14" ht="15" customHeight="1" x14ac:dyDescent="0.55000000000000004">
      <c r="C35" s="447"/>
      <c r="D35" s="445"/>
      <c r="E35" s="150"/>
      <c r="J35" s="150"/>
      <c r="L35" s="12" t="s">
        <v>150</v>
      </c>
      <c r="M35"/>
    </row>
    <row r="36" spans="3:14" ht="15" customHeight="1" x14ac:dyDescent="0.55000000000000004">
      <c r="C36" s="448"/>
      <c r="D36" s="36"/>
      <c r="E36" s="15"/>
      <c r="F36" s="15"/>
      <c r="G36" s="15"/>
      <c r="H36" s="14"/>
      <c r="I36" s="15"/>
      <c r="J36" s="14"/>
      <c r="L36" s="150"/>
      <c r="N36" s="150"/>
    </row>
    <row r="37" spans="3:14" ht="15" customHeight="1" thickBot="1" x14ac:dyDescent="0.6">
      <c r="C37" s="20"/>
      <c r="D37" s="150"/>
      <c r="E37" s="150"/>
      <c r="F37" s="150"/>
      <c r="L37" s="150"/>
      <c r="N37" s="150"/>
    </row>
    <row r="38" spans="3:14" ht="15" customHeight="1" thickTop="1" x14ac:dyDescent="0.55000000000000004">
      <c r="D38"/>
      <c r="E38"/>
      <c r="G38" s="241"/>
      <c r="H38" s="242"/>
      <c r="I38" s="243"/>
      <c r="J38" s="242"/>
      <c r="K38" s="243"/>
      <c r="L38" s="244"/>
      <c r="M38" s="245"/>
    </row>
    <row r="39" spans="3:14" ht="15" customHeight="1" x14ac:dyDescent="0.55000000000000004">
      <c r="D39"/>
      <c r="E39"/>
      <c r="G39" s="246"/>
      <c r="H39" s="481" t="str">
        <f>B5</f>
        <v>Enhanced MCH - Interface Council</v>
      </c>
      <c r="I39" s="256"/>
      <c r="J39" s="257"/>
      <c r="K39" s="129"/>
      <c r="L39" s="128" t="s">
        <v>335</v>
      </c>
      <c r="M39" s="247"/>
    </row>
    <row r="40" spans="3:14" ht="15" customHeight="1" x14ac:dyDescent="0.55000000000000004">
      <c r="D40"/>
      <c r="E40"/>
      <c r="G40" s="246"/>
      <c r="H40" s="481"/>
      <c r="I40" s="256"/>
      <c r="J40" s="258" t="s">
        <v>327</v>
      </c>
      <c r="K40" s="129"/>
      <c r="L40" s="248" t="e">
        <f>L34</f>
        <v>#N/A</v>
      </c>
      <c r="M40" s="247"/>
    </row>
    <row r="41" spans="3:14" ht="15" customHeight="1" x14ac:dyDescent="0.55000000000000004">
      <c r="D41"/>
      <c r="E41"/>
      <c r="G41" s="246"/>
      <c r="H41" s="481"/>
      <c r="I41" s="256"/>
      <c r="J41" s="258"/>
      <c r="K41" s="129"/>
      <c r="L41" s="195"/>
      <c r="M41" s="247"/>
    </row>
    <row r="42" spans="3:14" ht="15" customHeight="1" x14ac:dyDescent="0.55000000000000004">
      <c r="D42"/>
      <c r="E42"/>
      <c r="G42" s="246"/>
      <c r="H42" s="481"/>
      <c r="I42" s="256"/>
      <c r="J42" s="258"/>
      <c r="K42" s="129"/>
      <c r="L42" s="482" t="s">
        <v>30</v>
      </c>
      <c r="M42" s="247"/>
    </row>
    <row r="43" spans="3:14" ht="15" customHeight="1" x14ac:dyDescent="0.55000000000000004">
      <c r="D43"/>
      <c r="E43"/>
      <c r="G43" s="249"/>
      <c r="H43" s="481"/>
      <c r="I43" s="259"/>
      <c r="J43" s="260"/>
      <c r="K43" s="129"/>
      <c r="L43" s="482"/>
      <c r="M43" s="247"/>
    </row>
    <row r="44" spans="3:14" ht="15" customHeight="1" thickBot="1" x14ac:dyDescent="0.6">
      <c r="D44"/>
      <c r="E44"/>
      <c r="G44" s="246"/>
      <c r="H44" s="481"/>
      <c r="I44" s="256"/>
      <c r="J44" s="258"/>
      <c r="K44" s="196"/>
      <c r="L44" s="128" t="s">
        <v>41</v>
      </c>
      <c r="M44" s="247"/>
    </row>
    <row r="45" spans="3:14" ht="15" customHeight="1" thickBot="1" x14ac:dyDescent="0.6">
      <c r="D45"/>
      <c r="E45"/>
      <c r="G45" s="246"/>
      <c r="H45" s="481"/>
      <c r="I45" s="256"/>
      <c r="J45" s="258" t="s">
        <v>328</v>
      </c>
      <c r="K45" s="129"/>
      <c r="L45" s="270">
        <f>Inputs!$J$68</f>
        <v>126.38</v>
      </c>
      <c r="M45" s="247"/>
    </row>
    <row r="46" spans="3:14" ht="15" customHeight="1" x14ac:dyDescent="0.55000000000000004">
      <c r="D46"/>
      <c r="E46"/>
      <c r="G46" s="246"/>
      <c r="H46" s="481"/>
      <c r="I46" s="256"/>
      <c r="J46" s="258"/>
      <c r="K46" s="197"/>
      <c r="L46" s="128"/>
      <c r="M46" s="250"/>
    </row>
    <row r="47" spans="3:14" ht="15" customHeight="1" x14ac:dyDescent="0.55000000000000004">
      <c r="D47"/>
      <c r="E47"/>
      <c r="G47" s="246"/>
      <c r="H47" s="481"/>
      <c r="I47" s="256"/>
      <c r="J47" s="258"/>
      <c r="K47" s="129"/>
      <c r="L47" s="482" t="s">
        <v>29</v>
      </c>
      <c r="M47" s="250"/>
    </row>
    <row r="48" spans="3:14" ht="15" customHeight="1" x14ac:dyDescent="0.55000000000000004">
      <c r="D48"/>
      <c r="E48"/>
      <c r="G48" s="246"/>
      <c r="H48" s="481"/>
      <c r="I48" s="256"/>
      <c r="J48" s="260"/>
      <c r="K48" s="129"/>
      <c r="L48" s="482"/>
      <c r="M48" s="250"/>
    </row>
    <row r="49" spans="5:16" ht="15" customHeight="1" x14ac:dyDescent="0.55000000000000004">
      <c r="E49"/>
      <c r="G49" s="251"/>
      <c r="H49" s="481"/>
      <c r="I49" s="261"/>
      <c r="J49" s="258"/>
      <c r="K49" s="129"/>
      <c r="L49" s="128" t="s">
        <v>140</v>
      </c>
      <c r="M49" s="247"/>
      <c r="P49" s="150"/>
    </row>
    <row r="50" spans="5:16" ht="15" customHeight="1" x14ac:dyDescent="0.55000000000000004">
      <c r="G50" s="246"/>
      <c r="H50" s="481"/>
      <c r="I50" s="256"/>
      <c r="J50" s="258" t="s">
        <v>329</v>
      </c>
      <c r="K50" s="129"/>
      <c r="L50" s="3" t="e">
        <f>IF(F7="No",0,ROUND(L34*L45,2))</f>
        <v>#N/A</v>
      </c>
      <c r="M50" s="247"/>
    </row>
    <row r="51" spans="5:16" ht="15" customHeight="1" thickBot="1" x14ac:dyDescent="0.6">
      <c r="G51" s="252"/>
      <c r="H51" s="253"/>
      <c r="I51" s="254"/>
      <c r="J51" s="253"/>
      <c r="K51" s="254"/>
      <c r="L51" s="253"/>
      <c r="M51" s="255"/>
    </row>
    <row r="52" spans="5:16" ht="15" customHeight="1" thickTop="1" x14ac:dyDescent="0.55000000000000004"/>
  </sheetData>
  <sheetProtection sheet="1" objects="1" scenarios="1"/>
  <mergeCells count="12">
    <mergeCell ref="L42:L43"/>
    <mergeCell ref="L47:L48"/>
    <mergeCell ref="H39:H50"/>
    <mergeCell ref="A2:G2"/>
    <mergeCell ref="C9:N9"/>
    <mergeCell ref="C11:C36"/>
    <mergeCell ref="G16:I16"/>
    <mergeCell ref="J14:J15"/>
    <mergeCell ref="D12:D13"/>
    <mergeCell ref="J18:J19"/>
    <mergeCell ref="D16:D30"/>
    <mergeCell ref="D33:D35"/>
  </mergeCells>
  <conditionalFormatting sqref="F7:F8">
    <cfRule type="cellIs" dxfId="13" priority="10" operator="equal">
      <formula>"Yes"</formula>
    </cfRule>
    <cfRule type="cellIs" dxfId="12" priority="11" operator="equal">
      <formula>"No"</formula>
    </cfRule>
  </conditionalFormatting>
  <conditionalFormatting sqref="L26 L35 J27:J32 L33">
    <cfRule type="cellIs" dxfId="11" priority="3" operator="equal">
      <formula>"No"</formula>
    </cfRule>
    <cfRule type="cellIs" dxfId="10" priority="4" operator="equal">
      <formula>"Yes"</formula>
    </cfRule>
  </conditionalFormatting>
  <conditionalFormatting sqref="B9:O52">
    <cfRule type="expression" dxfId="9" priority="1">
      <formula>$F$7="No"</formula>
    </cfRule>
  </conditionalFormatting>
  <pageMargins left="0.7" right="0.7" top="0.75" bottom="0.75" header="0.3" footer="0.3"/>
  <pageSetup paperSize="8" scale="85" fitToHeight="0" orientation="landscape" r:id="rId1"/>
  <headerFooter>
    <oddFooter>&amp;C&amp;1#&amp;"Arial Black"&amp;10&amp;K000000OFFICIAL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pageSetUpPr fitToPage="1"/>
  </sheetPr>
  <dimension ref="A2:N33"/>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453125" style="1" customWidth="1"/>
    <col min="5" max="5" width="5.7265625" style="150" customWidth="1"/>
    <col min="6" max="6" width="23.26953125" customWidth="1"/>
    <col min="7" max="7" width="5.7265625" style="150" customWidth="1"/>
    <col min="8" max="8" width="23.26953125" customWidth="1"/>
    <col min="9" max="9" width="5.7265625" style="150" customWidth="1"/>
    <col min="10" max="10" width="23.26953125" customWidth="1"/>
    <col min="11" max="11" width="5.7265625" style="150" customWidth="1"/>
    <col min="12" max="12" width="23.26953125" customWidth="1"/>
    <col min="13" max="13" width="5.7265625" style="150" customWidth="1"/>
    <col min="14" max="14" width="23.26953125" customWidth="1"/>
  </cols>
  <sheetData>
    <row r="2" spans="1:13" ht="23.5" x14ac:dyDescent="0.55000000000000004">
      <c r="A2" s="440">
        <f>Inputs!$D$3</f>
        <v>0</v>
      </c>
      <c r="B2" s="441"/>
      <c r="C2" s="441"/>
      <c r="D2" s="441"/>
      <c r="E2" s="442"/>
      <c r="F2" s="150"/>
      <c r="G2"/>
      <c r="H2" s="150"/>
      <c r="I2"/>
      <c r="J2" s="150"/>
      <c r="K2"/>
      <c r="L2" s="150"/>
      <c r="M2"/>
    </row>
    <row r="4" spans="1:13" s="16" customFormat="1" ht="23.5" x14ac:dyDescent="0.55000000000000004">
      <c r="A4" s="264" t="s">
        <v>59</v>
      </c>
      <c r="D4" s="17"/>
      <c r="K4" s="17"/>
      <c r="M4" s="17"/>
    </row>
    <row r="5" spans="1:13" s="16" customFormat="1" ht="23.5" x14ac:dyDescent="0.55000000000000004">
      <c r="A5" s="39"/>
      <c r="B5" s="265" t="s">
        <v>60</v>
      </c>
      <c r="D5" s="17"/>
      <c r="F5" s="2"/>
      <c r="K5" s="17"/>
      <c r="M5" s="17"/>
    </row>
    <row r="6" spans="1:13" s="16" customFormat="1" ht="15" customHeight="1" x14ac:dyDescent="0.55000000000000004">
      <c r="A6" s="39"/>
      <c r="B6" s="48"/>
      <c r="D6" s="17"/>
      <c r="F6" s="2"/>
      <c r="K6" s="17"/>
      <c r="M6" s="17"/>
    </row>
    <row r="7" spans="1:13" ht="47.25" customHeight="1" x14ac:dyDescent="0.55000000000000004">
      <c r="C7" s="453" t="s">
        <v>160</v>
      </c>
      <c r="D7" s="453"/>
      <c r="E7" s="453"/>
      <c r="F7" s="453"/>
      <c r="G7" s="453"/>
      <c r="H7" s="453"/>
      <c r="I7" s="453"/>
      <c r="J7" s="453"/>
      <c r="K7" s="453"/>
      <c r="L7" s="453"/>
    </row>
    <row r="8" spans="1:13" ht="15" customHeight="1" x14ac:dyDescent="0.55000000000000004">
      <c r="D8"/>
      <c r="E8"/>
      <c r="G8"/>
      <c r="I8"/>
      <c r="K8"/>
      <c r="M8"/>
    </row>
    <row r="9" spans="1:13" ht="15" customHeight="1" x14ac:dyDescent="0.55000000000000004">
      <c r="C9" s="446" t="s">
        <v>161</v>
      </c>
      <c r="D9" s="30"/>
      <c r="E9" s="27"/>
      <c r="F9" s="27"/>
      <c r="G9" s="27"/>
      <c r="H9" s="27"/>
      <c r="I9" s="27"/>
      <c r="J9" s="27"/>
      <c r="K9" s="27"/>
      <c r="L9" s="27"/>
      <c r="M9" s="27"/>
    </row>
    <row r="10" spans="1:13" ht="15" customHeight="1" thickBot="1" x14ac:dyDescent="0.6">
      <c r="C10" s="447"/>
      <c r="D10" s="450" t="s">
        <v>162</v>
      </c>
      <c r="F10" t="s">
        <v>22</v>
      </c>
      <c r="H10" s="453" t="s">
        <v>373</v>
      </c>
      <c r="I10" s="453"/>
      <c r="J10" s="453"/>
      <c r="K10" s="453"/>
      <c r="L10" s="453"/>
      <c r="M10" s="453"/>
    </row>
    <row r="11" spans="1:13" ht="15" customHeight="1" thickBot="1" x14ac:dyDescent="0.6">
      <c r="C11" s="447"/>
      <c r="D11" s="450"/>
      <c r="F11" s="86">
        <f>Inputs!$J$24</f>
        <v>0</v>
      </c>
      <c r="H11" s="453"/>
      <c r="I11" s="453"/>
      <c r="J11" s="453"/>
      <c r="K11" s="453"/>
      <c r="L11" s="453"/>
      <c r="M11" s="453"/>
    </row>
    <row r="12" spans="1:13" ht="15" customHeight="1" x14ac:dyDescent="0.55000000000000004">
      <c r="C12" s="447"/>
      <c r="D12" s="450"/>
      <c r="H12" s="18"/>
      <c r="I12" s="18"/>
      <c r="J12" s="18"/>
      <c r="K12" s="18"/>
      <c r="L12" s="18"/>
      <c r="M12" s="18"/>
    </row>
    <row r="13" spans="1:13" ht="15" customHeight="1" x14ac:dyDescent="0.55000000000000004">
      <c r="C13" s="447"/>
      <c r="D13" s="450"/>
      <c r="K13"/>
    </row>
    <row r="14" spans="1:13" ht="15" customHeight="1" thickBot="1" x14ac:dyDescent="0.6">
      <c r="C14" s="447"/>
      <c r="D14" s="450"/>
      <c r="F14" s="18" t="s">
        <v>163</v>
      </c>
      <c r="H14" s="18" t="s">
        <v>164</v>
      </c>
      <c r="I14"/>
      <c r="J14" t="s">
        <v>310</v>
      </c>
      <c r="K14"/>
    </row>
    <row r="15" spans="1:13" ht="15" customHeight="1" thickBot="1" x14ac:dyDescent="0.6">
      <c r="C15" s="447"/>
      <c r="D15" s="450"/>
      <c r="F15" s="9">
        <v>12</v>
      </c>
      <c r="G15" s="148" t="s">
        <v>30</v>
      </c>
      <c r="H15" s="272">
        <f>Inputs!$J$78</f>
        <v>55.14</v>
      </c>
      <c r="I15" s="148" t="s">
        <v>29</v>
      </c>
      <c r="J15" s="3">
        <f>F15*H15</f>
        <v>661.68000000000006</v>
      </c>
      <c r="K15"/>
    </row>
    <row r="16" spans="1:13" ht="15" customHeight="1" x14ac:dyDescent="0.55000000000000004">
      <c r="C16" s="447"/>
      <c r="D16" s="450"/>
      <c r="K16"/>
    </row>
    <row r="17" spans="3:14" ht="15" customHeight="1" x14ac:dyDescent="0.55000000000000004">
      <c r="C17" s="448"/>
      <c r="D17" s="36"/>
      <c r="E17" s="15"/>
      <c r="F17" s="14"/>
      <c r="G17" s="15"/>
      <c r="H17" s="14"/>
      <c r="I17" s="14"/>
      <c r="J17" s="14"/>
      <c r="K17" s="14"/>
      <c r="L17" s="14"/>
      <c r="M17" s="14"/>
    </row>
    <row r="18" spans="3:14" ht="15" customHeight="1" thickBot="1" x14ac:dyDescent="0.6">
      <c r="C18" s="20"/>
      <c r="D18" s="150"/>
      <c r="I18"/>
      <c r="K18"/>
      <c r="M18"/>
    </row>
    <row r="19" spans="3:14" ht="15" customHeight="1" thickTop="1" x14ac:dyDescent="0.55000000000000004">
      <c r="D19"/>
      <c r="E19" s="273"/>
      <c r="F19" s="274"/>
      <c r="G19" s="275"/>
      <c r="H19" s="274"/>
      <c r="I19" s="275"/>
      <c r="J19" s="276"/>
      <c r="K19" s="277"/>
    </row>
    <row r="20" spans="3:14" ht="15" customHeight="1" thickBot="1" x14ac:dyDescent="0.6">
      <c r="D20"/>
      <c r="E20" s="278"/>
      <c r="F20" s="485" t="str">
        <f>B5</f>
        <v>MCH Workforce Support - EMCH Clinical Supervision</v>
      </c>
      <c r="G20" s="287"/>
      <c r="H20" s="288"/>
      <c r="I20" s="129"/>
      <c r="J20" s="128" t="s">
        <v>369</v>
      </c>
      <c r="K20" s="279"/>
    </row>
    <row r="21" spans="3:14" ht="15" customHeight="1" thickBot="1" x14ac:dyDescent="0.6">
      <c r="D21"/>
      <c r="E21" s="278"/>
      <c r="F21" s="485"/>
      <c r="G21" s="287"/>
      <c r="H21" s="289" t="s">
        <v>327</v>
      </c>
      <c r="I21" s="129"/>
      <c r="J21" s="293">
        <f>F11</f>
        <v>0</v>
      </c>
      <c r="K21" s="279"/>
    </row>
    <row r="22" spans="3:14" ht="15" customHeight="1" x14ac:dyDescent="0.55000000000000004">
      <c r="D22"/>
      <c r="E22" s="278"/>
      <c r="F22" s="485"/>
      <c r="G22" s="287"/>
      <c r="H22" s="289"/>
      <c r="I22" s="129"/>
      <c r="J22" s="195"/>
      <c r="K22" s="279"/>
    </row>
    <row r="23" spans="3:14" ht="15" customHeight="1" x14ac:dyDescent="0.55000000000000004">
      <c r="D23"/>
      <c r="E23" s="278"/>
      <c r="F23" s="485"/>
      <c r="G23" s="287"/>
      <c r="H23" s="289"/>
      <c r="I23" s="129"/>
      <c r="J23" s="486" t="s">
        <v>30</v>
      </c>
      <c r="K23" s="279"/>
    </row>
    <row r="24" spans="3:14" ht="15" customHeight="1" x14ac:dyDescent="0.55000000000000004">
      <c r="D24"/>
      <c r="E24" s="280"/>
      <c r="F24" s="485"/>
      <c r="G24" s="290"/>
      <c r="H24" s="291"/>
      <c r="I24" s="129"/>
      <c r="J24" s="486"/>
      <c r="K24" s="279"/>
    </row>
    <row r="25" spans="3:14" ht="15" customHeight="1" x14ac:dyDescent="0.55000000000000004">
      <c r="D25"/>
      <c r="E25" s="278"/>
      <c r="F25" s="485"/>
      <c r="G25" s="287"/>
      <c r="H25" s="289"/>
      <c r="I25" s="196"/>
      <c r="J25" s="195" t="s">
        <v>370</v>
      </c>
      <c r="K25" s="279"/>
    </row>
    <row r="26" spans="3:14" ht="15" customHeight="1" x14ac:dyDescent="0.55000000000000004">
      <c r="D26"/>
      <c r="E26" s="278"/>
      <c r="F26" s="485"/>
      <c r="G26" s="287"/>
      <c r="H26" s="289" t="s">
        <v>328</v>
      </c>
      <c r="I26" s="129"/>
      <c r="J26" s="29">
        <f>J15</f>
        <v>661.68000000000006</v>
      </c>
      <c r="K26" s="279"/>
    </row>
    <row r="27" spans="3:14" ht="15" customHeight="1" x14ac:dyDescent="0.55000000000000004">
      <c r="D27"/>
      <c r="E27" s="278"/>
      <c r="F27" s="485"/>
      <c r="G27" s="287"/>
      <c r="H27" s="289"/>
      <c r="I27" s="197"/>
      <c r="J27" s="128"/>
      <c r="K27" s="281"/>
    </row>
    <row r="28" spans="3:14" ht="15" customHeight="1" x14ac:dyDescent="0.55000000000000004">
      <c r="D28"/>
      <c r="E28" s="278"/>
      <c r="F28" s="485"/>
      <c r="G28" s="287"/>
      <c r="H28" s="289"/>
      <c r="I28" s="129"/>
      <c r="J28" s="486" t="s">
        <v>29</v>
      </c>
      <c r="K28" s="281"/>
    </row>
    <row r="29" spans="3:14" ht="15" customHeight="1" x14ac:dyDescent="0.55000000000000004">
      <c r="D29"/>
      <c r="E29" s="278"/>
      <c r="F29" s="485"/>
      <c r="G29" s="287"/>
      <c r="H29" s="291"/>
      <c r="I29" s="129"/>
      <c r="J29" s="486"/>
      <c r="K29" s="281"/>
    </row>
    <row r="30" spans="3:14" ht="15" customHeight="1" x14ac:dyDescent="0.55000000000000004">
      <c r="E30" s="282"/>
      <c r="F30" s="485"/>
      <c r="G30" s="292"/>
      <c r="H30" s="289"/>
      <c r="I30" s="129"/>
      <c r="J30" s="128" t="s">
        <v>140</v>
      </c>
      <c r="K30" s="279"/>
      <c r="N30" s="150"/>
    </row>
    <row r="31" spans="3:14" ht="15" customHeight="1" x14ac:dyDescent="0.55000000000000004">
      <c r="E31" s="278"/>
      <c r="F31" s="485"/>
      <c r="G31" s="287"/>
      <c r="H31" s="289" t="s">
        <v>329</v>
      </c>
      <c r="I31" s="129"/>
      <c r="J31" s="29">
        <f>ROUND(J21*J26,2)</f>
        <v>0</v>
      </c>
      <c r="K31" s="279"/>
    </row>
    <row r="32" spans="3:14" ht="15" customHeight="1" thickBot="1" x14ac:dyDescent="0.6">
      <c r="E32" s="283"/>
      <c r="F32" s="284"/>
      <c r="G32" s="285"/>
      <c r="H32" s="284"/>
      <c r="I32" s="285"/>
      <c r="J32" s="284"/>
      <c r="K32" s="286"/>
    </row>
    <row r="33" ht="15" customHeight="1" thickTop="1" x14ac:dyDescent="0.55000000000000004"/>
  </sheetData>
  <sheetProtection sheet="1" objects="1" scenarios="1"/>
  <mergeCells count="8">
    <mergeCell ref="A2:E2"/>
    <mergeCell ref="F20:F31"/>
    <mergeCell ref="J23:J24"/>
    <mergeCell ref="J28:J29"/>
    <mergeCell ref="H10:M11"/>
    <mergeCell ref="C7:L7"/>
    <mergeCell ref="C9:C17"/>
    <mergeCell ref="D10:D16"/>
  </mergeCells>
  <conditionalFormatting sqref="E19:I20 E32:I32 E21:E31 G21:I31">
    <cfRule type="expression" dxfId="8" priority="1">
      <formula>#REF!="No"</formula>
    </cfRule>
  </conditionalFormatting>
  <pageMargins left="0.7" right="0.7" top="0.75" bottom="0.75" header="0.3" footer="0.3"/>
  <pageSetup paperSize="8" scale="85" fitToHeight="0" orientation="landscape" r:id="rId1"/>
  <headerFooter>
    <oddFooter>&amp;C&amp;1#&amp;"Arial Black"&amp;10&amp;K000000OFFICIAL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83"/>
  <sheetViews>
    <sheetView workbookViewId="0"/>
  </sheetViews>
  <sheetFormatPr defaultRowHeight="14.5" x14ac:dyDescent="0.35"/>
  <cols>
    <col min="1" max="1" width="40" bestFit="1" customWidth="1"/>
    <col min="2" max="2" width="26.26953125" customWidth="1"/>
    <col min="3" max="4" width="16.1796875" style="4" customWidth="1"/>
    <col min="5" max="6" width="15.26953125" customWidth="1"/>
    <col min="7" max="7" width="52.81640625" bestFit="1" customWidth="1"/>
    <col min="8" max="8" width="17.54296875" customWidth="1"/>
  </cols>
  <sheetData>
    <row r="1" spans="1:8" s="2" customFormat="1" x14ac:dyDescent="0.35">
      <c r="A1" s="2" t="s">
        <v>165</v>
      </c>
      <c r="B1" s="2" t="s">
        <v>14</v>
      </c>
      <c r="C1" s="50" t="s">
        <v>15</v>
      </c>
      <c r="D1" s="50" t="s">
        <v>256</v>
      </c>
      <c r="E1" s="2" t="s">
        <v>260</v>
      </c>
      <c r="F1" s="2" t="s">
        <v>261</v>
      </c>
      <c r="G1" s="2" t="s">
        <v>377</v>
      </c>
      <c r="H1" s="2" t="s">
        <v>379</v>
      </c>
    </row>
    <row r="2" spans="1:8" x14ac:dyDescent="0.35">
      <c r="C2"/>
      <c r="D2"/>
    </row>
    <row r="3" spans="1:8" x14ac:dyDescent="0.35">
      <c r="A3" t="s">
        <v>13</v>
      </c>
      <c r="B3" t="s">
        <v>13</v>
      </c>
      <c r="C3" s="4" t="s">
        <v>92</v>
      </c>
      <c r="D3" s="4" t="s">
        <v>8</v>
      </c>
      <c r="E3" s="124">
        <v>1.01E-3</v>
      </c>
      <c r="F3" s="124">
        <v>2.7890000000000002E-2</v>
      </c>
      <c r="G3" t="str">
        <f>IF(COUNTIF($B$3:$B$83,B3)=1,$H$3,$H$4)</f>
        <v>No</v>
      </c>
      <c r="H3" t="s">
        <v>8</v>
      </c>
    </row>
    <row r="4" spans="1:8" x14ac:dyDescent="0.35">
      <c r="A4" t="s">
        <v>167</v>
      </c>
      <c r="B4" t="s">
        <v>167</v>
      </c>
      <c r="C4" s="4" t="s">
        <v>92</v>
      </c>
      <c r="D4" s="4" t="s">
        <v>8</v>
      </c>
      <c r="E4" s="124">
        <v>2.1800000000000001E-3</v>
      </c>
      <c r="F4" s="124">
        <v>1.9859999999999999E-2</v>
      </c>
      <c r="G4" t="str">
        <f t="shared" ref="G4:G67" si="0">IF(COUNTIF($B$3:$B$83,B4)=1,$H$3,$H$4)</f>
        <v>No</v>
      </c>
      <c r="H4" t="s">
        <v>381</v>
      </c>
    </row>
    <row r="5" spans="1:8" x14ac:dyDescent="0.35">
      <c r="A5" t="s">
        <v>168</v>
      </c>
      <c r="B5" t="s">
        <v>168</v>
      </c>
      <c r="C5" s="4" t="s">
        <v>92</v>
      </c>
      <c r="D5" s="4" t="s">
        <v>8</v>
      </c>
      <c r="E5" s="124">
        <v>2.4150000000000001E-2</v>
      </c>
      <c r="F5" s="124">
        <v>6.3499999999999997E-3</v>
      </c>
      <c r="G5" t="str">
        <f t="shared" si="0"/>
        <v>No</v>
      </c>
    </row>
    <row r="6" spans="1:8" x14ac:dyDescent="0.35">
      <c r="A6" t="s">
        <v>169</v>
      </c>
      <c r="B6" t="s">
        <v>169</v>
      </c>
      <c r="C6" s="4" t="s">
        <v>91</v>
      </c>
      <c r="D6" s="4" t="s">
        <v>8</v>
      </c>
      <c r="E6" s="124">
        <v>1.025E-2</v>
      </c>
      <c r="F6" s="124">
        <v>0</v>
      </c>
      <c r="G6" t="str">
        <f t="shared" si="0"/>
        <v>No</v>
      </c>
    </row>
    <row r="7" spans="1:8" x14ac:dyDescent="0.35">
      <c r="A7" t="s">
        <v>170</v>
      </c>
      <c r="B7" t="s">
        <v>171</v>
      </c>
      <c r="C7" s="4" t="s">
        <v>92</v>
      </c>
      <c r="D7" s="4" t="s">
        <v>8</v>
      </c>
      <c r="E7" s="124">
        <v>6.6600000000000001E-3</v>
      </c>
      <c r="F7" s="124">
        <v>1.0630000000000001E-2</v>
      </c>
      <c r="G7" t="str">
        <f t="shared" si="0"/>
        <v>No</v>
      </c>
    </row>
    <row r="8" spans="1:8" x14ac:dyDescent="0.35">
      <c r="A8" t="s">
        <v>172</v>
      </c>
      <c r="B8" t="s">
        <v>172</v>
      </c>
      <c r="C8" s="4" t="s">
        <v>92</v>
      </c>
      <c r="D8" s="4" t="s">
        <v>8</v>
      </c>
      <c r="E8" s="124">
        <v>9.9500000000000005E-3</v>
      </c>
      <c r="F8" s="124">
        <v>2.078E-2</v>
      </c>
      <c r="G8" t="str">
        <f t="shared" si="0"/>
        <v>No</v>
      </c>
    </row>
    <row r="9" spans="1:8" x14ac:dyDescent="0.35">
      <c r="A9" t="s">
        <v>173</v>
      </c>
      <c r="B9" t="s">
        <v>173</v>
      </c>
      <c r="C9" s="4" t="s">
        <v>91</v>
      </c>
      <c r="D9" s="4" t="s">
        <v>8</v>
      </c>
      <c r="E9" s="124">
        <v>3.5200000000000001E-3</v>
      </c>
      <c r="F9" s="124">
        <v>0</v>
      </c>
      <c r="G9" t="str">
        <f t="shared" si="0"/>
        <v>No</v>
      </c>
    </row>
    <row r="10" spans="1:8" x14ac:dyDescent="0.35">
      <c r="A10" t="s">
        <v>174</v>
      </c>
      <c r="B10" t="s">
        <v>174</v>
      </c>
      <c r="C10" s="4" t="s">
        <v>92</v>
      </c>
      <c r="D10" s="4" t="s">
        <v>8</v>
      </c>
      <c r="E10" s="124">
        <v>2.3800000000000002E-3</v>
      </c>
      <c r="F10" s="124">
        <v>1.6060000000000001E-2</v>
      </c>
      <c r="G10" t="str">
        <f t="shared" si="0"/>
        <v>No</v>
      </c>
    </row>
    <row r="11" spans="1:8" x14ac:dyDescent="0.35">
      <c r="A11" t="s">
        <v>175</v>
      </c>
      <c r="B11" t="s">
        <v>175</v>
      </c>
      <c r="C11" s="4" t="s">
        <v>91</v>
      </c>
      <c r="D11" s="4" t="s">
        <v>8</v>
      </c>
      <c r="E11" s="124">
        <v>6.0899999999999999E-3</v>
      </c>
      <c r="F11" s="124">
        <v>0</v>
      </c>
      <c r="G11" t="str">
        <f t="shared" si="0"/>
        <v>No</v>
      </c>
    </row>
    <row r="12" spans="1:8" x14ac:dyDescent="0.35">
      <c r="A12" t="s">
        <v>176</v>
      </c>
      <c r="B12" t="s">
        <v>176</v>
      </c>
      <c r="C12" s="4" t="s">
        <v>91</v>
      </c>
      <c r="D12" s="4" t="s">
        <v>8</v>
      </c>
      <c r="E12" s="124">
        <v>4.5260000000000002E-2</v>
      </c>
      <c r="F12" s="124">
        <v>0</v>
      </c>
      <c r="G12" t="str">
        <f t="shared" si="0"/>
        <v>No</v>
      </c>
    </row>
    <row r="13" spans="1:8" x14ac:dyDescent="0.35">
      <c r="A13" t="s">
        <v>177</v>
      </c>
      <c r="B13" t="s">
        <v>177</v>
      </c>
      <c r="C13" s="4" t="s">
        <v>92</v>
      </c>
      <c r="D13" s="4" t="s">
        <v>8</v>
      </c>
      <c r="E13" s="124">
        <v>9.8999999999999999E-4</v>
      </c>
      <c r="F13" s="124">
        <v>3.2660000000000002E-2</v>
      </c>
      <c r="G13" t="str">
        <f t="shared" si="0"/>
        <v>No</v>
      </c>
    </row>
    <row r="14" spans="1:8" x14ac:dyDescent="0.35">
      <c r="A14" t="s">
        <v>178</v>
      </c>
      <c r="B14" t="s">
        <v>178</v>
      </c>
      <c r="C14" s="4" t="s">
        <v>92</v>
      </c>
      <c r="D14" s="4" t="s">
        <v>8</v>
      </c>
      <c r="E14" s="124">
        <v>7.62E-3</v>
      </c>
      <c r="F14" s="124">
        <v>1.4590000000000001E-2</v>
      </c>
      <c r="G14" t="str">
        <f t="shared" si="0"/>
        <v>No</v>
      </c>
    </row>
    <row r="15" spans="1:8" x14ac:dyDescent="0.35">
      <c r="A15" t="s">
        <v>179</v>
      </c>
      <c r="B15" t="s">
        <v>179</v>
      </c>
      <c r="C15" s="4" t="s">
        <v>91</v>
      </c>
      <c r="D15" s="4" t="s">
        <v>7</v>
      </c>
      <c r="E15" s="124">
        <v>2.5180000000000001E-2</v>
      </c>
      <c r="F15" s="124">
        <v>6.13E-3</v>
      </c>
      <c r="G15" t="str">
        <f t="shared" si="0"/>
        <v>No</v>
      </c>
    </row>
    <row r="16" spans="1:8" x14ac:dyDescent="0.35">
      <c r="A16" t="s">
        <v>180</v>
      </c>
      <c r="B16" t="s">
        <v>180</v>
      </c>
      <c r="C16" s="4" t="s">
        <v>91</v>
      </c>
      <c r="D16" s="4" t="s">
        <v>7</v>
      </c>
      <c r="E16" s="124">
        <v>8.931E-2</v>
      </c>
      <c r="F16" s="124">
        <v>1.7899999999999999E-3</v>
      </c>
      <c r="G16" t="str">
        <f t="shared" si="0"/>
        <v>No</v>
      </c>
    </row>
    <row r="17" spans="1:7" x14ac:dyDescent="0.35">
      <c r="A17" t="s">
        <v>181</v>
      </c>
      <c r="B17" t="s">
        <v>182</v>
      </c>
      <c r="C17" s="4" t="s">
        <v>92</v>
      </c>
      <c r="D17" s="4" t="s">
        <v>8</v>
      </c>
      <c r="E17" s="124">
        <v>7.6499999999999997E-3</v>
      </c>
      <c r="F17" s="124">
        <v>3.9350000000000003E-2</v>
      </c>
      <c r="G17" t="str">
        <f t="shared" si="0"/>
        <v>Yes, there are two providers in this LGA</v>
      </c>
    </row>
    <row r="18" spans="1:7" x14ac:dyDescent="0.35">
      <c r="A18" t="s">
        <v>183</v>
      </c>
      <c r="B18" t="s">
        <v>183</v>
      </c>
      <c r="C18" s="4" t="s">
        <v>92</v>
      </c>
      <c r="D18" s="4" t="s">
        <v>8</v>
      </c>
      <c r="E18" s="124">
        <v>3.31E-3</v>
      </c>
      <c r="F18" s="124">
        <v>1.329E-2</v>
      </c>
      <c r="G18" t="str">
        <f t="shared" si="0"/>
        <v>No</v>
      </c>
    </row>
    <row r="19" spans="1:7" x14ac:dyDescent="0.35">
      <c r="A19" t="s">
        <v>184</v>
      </c>
      <c r="B19" t="s">
        <v>184</v>
      </c>
      <c r="C19" s="4" t="s">
        <v>92</v>
      </c>
      <c r="D19" s="4" t="s">
        <v>8</v>
      </c>
      <c r="E19" s="124">
        <v>3.47E-3</v>
      </c>
      <c r="F19" s="124">
        <v>1.9259999999999999E-2</v>
      </c>
      <c r="G19" t="str">
        <f t="shared" si="0"/>
        <v>No</v>
      </c>
    </row>
    <row r="20" spans="1:7" x14ac:dyDescent="0.35">
      <c r="A20" t="s">
        <v>185</v>
      </c>
      <c r="B20" t="s">
        <v>185</v>
      </c>
      <c r="C20" s="4" t="s">
        <v>92</v>
      </c>
      <c r="D20" s="4" t="s">
        <v>8</v>
      </c>
      <c r="E20" s="124">
        <v>2.1700000000000001E-3</v>
      </c>
      <c r="F20" s="124">
        <v>1.9259999999999999E-2</v>
      </c>
      <c r="G20" t="str">
        <f t="shared" si="0"/>
        <v>No</v>
      </c>
    </row>
    <row r="21" spans="1:7" x14ac:dyDescent="0.35">
      <c r="A21" t="s">
        <v>186</v>
      </c>
      <c r="B21" t="s">
        <v>186</v>
      </c>
      <c r="C21" s="4" t="s">
        <v>91</v>
      </c>
      <c r="D21" s="4" t="s">
        <v>8</v>
      </c>
      <c r="E21" s="124">
        <v>1.3639999999999999E-2</v>
      </c>
      <c r="F21" s="124">
        <v>0</v>
      </c>
      <c r="G21" t="str">
        <f t="shared" si="0"/>
        <v>No</v>
      </c>
    </row>
    <row r="22" spans="1:7" x14ac:dyDescent="0.35">
      <c r="A22" t="s">
        <v>187</v>
      </c>
      <c r="B22" t="s">
        <v>187</v>
      </c>
      <c r="C22" s="4" t="s">
        <v>91</v>
      </c>
      <c r="D22" s="4" t="s">
        <v>8</v>
      </c>
      <c r="E22" s="124">
        <v>2.232E-2</v>
      </c>
      <c r="F22" s="124">
        <v>0</v>
      </c>
      <c r="G22" t="str">
        <f t="shared" si="0"/>
        <v>No</v>
      </c>
    </row>
    <row r="23" spans="1:7" x14ac:dyDescent="0.35">
      <c r="A23" t="s">
        <v>188</v>
      </c>
      <c r="B23" t="s">
        <v>188</v>
      </c>
      <c r="C23" s="4" t="s">
        <v>92</v>
      </c>
      <c r="D23" s="4" t="s">
        <v>8</v>
      </c>
      <c r="E23" s="124">
        <v>2.1299999999999999E-3</v>
      </c>
      <c r="F23" s="124">
        <v>2.452E-2</v>
      </c>
      <c r="G23" t="str">
        <f t="shared" si="0"/>
        <v>No</v>
      </c>
    </row>
    <row r="24" spans="1:7" x14ac:dyDescent="0.35">
      <c r="A24" t="s">
        <v>258</v>
      </c>
      <c r="B24" t="s">
        <v>189</v>
      </c>
      <c r="C24" s="4" t="s">
        <v>92</v>
      </c>
      <c r="D24" s="4" t="s">
        <v>8</v>
      </c>
      <c r="E24" s="124">
        <v>9.3799999999999994E-3</v>
      </c>
      <c r="F24" s="124">
        <v>4.1669999999999999E-2</v>
      </c>
      <c r="G24" t="str">
        <f t="shared" si="0"/>
        <v>Yes, there are two providers in this LGA</v>
      </c>
    </row>
    <row r="25" spans="1:7" x14ac:dyDescent="0.35">
      <c r="A25" t="s">
        <v>190</v>
      </c>
      <c r="B25" t="s">
        <v>190</v>
      </c>
      <c r="C25" s="4" t="s">
        <v>91</v>
      </c>
      <c r="D25" s="4" t="s">
        <v>8</v>
      </c>
      <c r="E25" s="124">
        <v>8.77E-3</v>
      </c>
      <c r="F25" s="124">
        <v>0</v>
      </c>
      <c r="G25" t="str">
        <f t="shared" si="0"/>
        <v>No</v>
      </c>
    </row>
    <row r="26" spans="1:7" x14ac:dyDescent="0.35">
      <c r="A26" t="s">
        <v>191</v>
      </c>
      <c r="B26" t="s">
        <v>191</v>
      </c>
      <c r="C26" s="4" t="s">
        <v>92</v>
      </c>
      <c r="D26" s="4" t="s">
        <v>8</v>
      </c>
      <c r="E26" s="124">
        <v>3.4099999999999998E-3</v>
      </c>
      <c r="F26" s="124">
        <v>2.3109999999999999E-2</v>
      </c>
      <c r="G26" t="str">
        <f t="shared" si="0"/>
        <v>No</v>
      </c>
    </row>
    <row r="27" spans="1:7" x14ac:dyDescent="0.35">
      <c r="A27" t="s">
        <v>192</v>
      </c>
      <c r="B27" t="s">
        <v>192</v>
      </c>
      <c r="C27" s="4" t="s">
        <v>92</v>
      </c>
      <c r="D27" s="4" t="s">
        <v>8</v>
      </c>
      <c r="E27" s="124">
        <v>2.4099999999999998E-3</v>
      </c>
      <c r="F27" s="124">
        <v>1.422E-2</v>
      </c>
      <c r="G27" t="str">
        <f t="shared" si="0"/>
        <v>No</v>
      </c>
    </row>
    <row r="28" spans="1:7" x14ac:dyDescent="0.35">
      <c r="A28" t="s">
        <v>193</v>
      </c>
      <c r="B28" t="s">
        <v>193</v>
      </c>
      <c r="C28" s="4" t="s">
        <v>92</v>
      </c>
      <c r="D28" s="4" t="s">
        <v>8</v>
      </c>
      <c r="E28" s="124">
        <v>2.3550000000000001E-2</v>
      </c>
      <c r="F28" s="124">
        <v>8.8999999999999999E-3</v>
      </c>
      <c r="G28" t="str">
        <f t="shared" si="0"/>
        <v>No</v>
      </c>
    </row>
    <row r="29" spans="1:7" x14ac:dyDescent="0.35">
      <c r="A29" t="s">
        <v>194</v>
      </c>
      <c r="B29" t="s">
        <v>194</v>
      </c>
      <c r="C29" s="4" t="s">
        <v>91</v>
      </c>
      <c r="D29" s="4" t="s">
        <v>8</v>
      </c>
      <c r="E29" s="124">
        <v>3.9079999999999997E-2</v>
      </c>
      <c r="F29" s="124">
        <v>0</v>
      </c>
      <c r="G29" t="str">
        <f t="shared" si="0"/>
        <v>No</v>
      </c>
    </row>
    <row r="30" spans="1:7" x14ac:dyDescent="0.35">
      <c r="A30" t="s">
        <v>195</v>
      </c>
      <c r="B30" t="s">
        <v>195</v>
      </c>
      <c r="C30" s="4" t="s">
        <v>92</v>
      </c>
      <c r="D30" s="4" t="s">
        <v>8</v>
      </c>
      <c r="E30" s="124">
        <v>3.8080000000000003E-2</v>
      </c>
      <c r="F30" s="124">
        <v>7.3200000000000001E-3</v>
      </c>
      <c r="G30" t="str">
        <f t="shared" si="0"/>
        <v>No</v>
      </c>
    </row>
    <row r="31" spans="1:7" x14ac:dyDescent="0.35">
      <c r="A31" t="s">
        <v>196</v>
      </c>
      <c r="B31" t="s">
        <v>196</v>
      </c>
      <c r="C31" s="4" t="s">
        <v>92</v>
      </c>
      <c r="D31" s="4" t="s">
        <v>8</v>
      </c>
      <c r="E31" s="124">
        <v>1.7989999999999999E-2</v>
      </c>
      <c r="F31" s="124">
        <v>1.264E-2</v>
      </c>
      <c r="G31" t="str">
        <f t="shared" si="0"/>
        <v>No</v>
      </c>
    </row>
    <row r="32" spans="1:7" x14ac:dyDescent="0.35">
      <c r="A32" t="s">
        <v>197</v>
      </c>
      <c r="B32" t="s">
        <v>197</v>
      </c>
      <c r="C32" s="4" t="s">
        <v>92</v>
      </c>
      <c r="D32" s="4" t="s">
        <v>8</v>
      </c>
      <c r="E32" s="124">
        <v>1.91E-3</v>
      </c>
      <c r="F32" s="124">
        <v>7.8700000000000003E-3</v>
      </c>
      <c r="G32" t="str">
        <f t="shared" si="0"/>
        <v>No</v>
      </c>
    </row>
    <row r="33" spans="1:7" x14ac:dyDescent="0.35">
      <c r="A33" t="s">
        <v>198</v>
      </c>
      <c r="B33" t="s">
        <v>198</v>
      </c>
      <c r="C33" s="4" t="s">
        <v>91</v>
      </c>
      <c r="D33" s="4" t="s">
        <v>8</v>
      </c>
      <c r="E33" s="124">
        <v>1.044E-2</v>
      </c>
      <c r="F33" s="124">
        <v>0</v>
      </c>
      <c r="G33" t="str">
        <f t="shared" si="0"/>
        <v>No</v>
      </c>
    </row>
    <row r="34" spans="1:7" x14ac:dyDescent="0.35">
      <c r="A34" t="s">
        <v>199</v>
      </c>
      <c r="B34" t="s">
        <v>199</v>
      </c>
      <c r="C34" s="4" t="s">
        <v>92</v>
      </c>
      <c r="D34" s="4" t="s">
        <v>8</v>
      </c>
      <c r="E34" s="124">
        <v>4.1000000000000003E-3</v>
      </c>
      <c r="F34" s="124">
        <v>2.767E-2</v>
      </c>
      <c r="G34" t="str">
        <f t="shared" si="0"/>
        <v>No</v>
      </c>
    </row>
    <row r="35" spans="1:7" x14ac:dyDescent="0.35">
      <c r="A35" t="s">
        <v>200</v>
      </c>
      <c r="B35" t="s">
        <v>200</v>
      </c>
      <c r="C35" s="4" t="s">
        <v>91</v>
      </c>
      <c r="D35" s="4" t="s">
        <v>7</v>
      </c>
      <c r="E35" s="124">
        <v>7.8090000000000007E-2</v>
      </c>
      <c r="F35" s="124">
        <v>2.1700000000000001E-3</v>
      </c>
      <c r="G35" t="str">
        <f t="shared" si="0"/>
        <v>No</v>
      </c>
    </row>
    <row r="36" spans="1:7" x14ac:dyDescent="0.35">
      <c r="A36" t="s">
        <v>201</v>
      </c>
      <c r="B36" t="s">
        <v>201</v>
      </c>
      <c r="C36" s="4" t="s">
        <v>92</v>
      </c>
      <c r="D36" s="4" t="s">
        <v>8</v>
      </c>
      <c r="E36" s="124">
        <v>1.9400000000000001E-3</v>
      </c>
      <c r="F36" s="124">
        <v>1.4540000000000001E-2</v>
      </c>
      <c r="G36" t="str">
        <f t="shared" si="0"/>
        <v>No</v>
      </c>
    </row>
    <row r="37" spans="1:7" x14ac:dyDescent="0.35">
      <c r="A37" t="s">
        <v>202</v>
      </c>
      <c r="B37" t="s">
        <v>202</v>
      </c>
      <c r="C37" s="4" t="s">
        <v>91</v>
      </c>
      <c r="D37" s="4" t="s">
        <v>8</v>
      </c>
      <c r="E37" s="124">
        <v>1.0919999999999999E-2</v>
      </c>
      <c r="F37" s="124">
        <v>0</v>
      </c>
      <c r="G37" t="str">
        <f t="shared" si="0"/>
        <v>No</v>
      </c>
    </row>
    <row r="38" spans="1:7" x14ac:dyDescent="0.35">
      <c r="A38" t="s">
        <v>203</v>
      </c>
      <c r="B38" t="s">
        <v>203</v>
      </c>
      <c r="C38" s="4" t="s">
        <v>91</v>
      </c>
      <c r="D38" s="4" t="s">
        <v>8</v>
      </c>
      <c r="E38" s="124">
        <v>1.7819999999999999E-2</v>
      </c>
      <c r="F38" s="124">
        <v>0</v>
      </c>
      <c r="G38" t="str">
        <f t="shared" si="0"/>
        <v>No</v>
      </c>
    </row>
    <row r="39" spans="1:7" x14ac:dyDescent="0.35">
      <c r="A39" t="s">
        <v>204</v>
      </c>
      <c r="B39" t="s">
        <v>204</v>
      </c>
      <c r="C39" s="4" t="s">
        <v>92</v>
      </c>
      <c r="D39" s="4" t="s">
        <v>8</v>
      </c>
      <c r="E39" s="124">
        <v>2.145E-2</v>
      </c>
      <c r="F39" s="124">
        <v>1.172E-2</v>
      </c>
      <c r="G39" t="str">
        <f t="shared" si="0"/>
        <v>No</v>
      </c>
    </row>
    <row r="40" spans="1:7" x14ac:dyDescent="0.35">
      <c r="A40" t="s">
        <v>205</v>
      </c>
      <c r="B40" t="s">
        <v>205</v>
      </c>
      <c r="C40" s="4" t="s">
        <v>92</v>
      </c>
      <c r="D40" s="4" t="s">
        <v>8</v>
      </c>
      <c r="E40" s="124">
        <v>1.39E-3</v>
      </c>
      <c r="F40" s="124">
        <v>2.3599999999999999E-2</v>
      </c>
      <c r="G40" t="str">
        <f t="shared" si="0"/>
        <v>No</v>
      </c>
    </row>
    <row r="41" spans="1:7" x14ac:dyDescent="0.35">
      <c r="A41" t="s">
        <v>206</v>
      </c>
      <c r="B41" t="s">
        <v>206</v>
      </c>
      <c r="C41" s="4" t="s">
        <v>92</v>
      </c>
      <c r="D41" s="4" t="s">
        <v>8</v>
      </c>
      <c r="E41" s="124">
        <v>3.65E-3</v>
      </c>
      <c r="F41" s="124">
        <v>9.1199999999999996E-3</v>
      </c>
      <c r="G41" t="str">
        <f t="shared" si="0"/>
        <v>No</v>
      </c>
    </row>
    <row r="42" spans="1:7" x14ac:dyDescent="0.35">
      <c r="A42" t="s">
        <v>207</v>
      </c>
      <c r="B42" t="s">
        <v>207</v>
      </c>
      <c r="C42" s="4" t="s">
        <v>91</v>
      </c>
      <c r="D42" s="4" t="s">
        <v>8</v>
      </c>
      <c r="E42" s="124">
        <v>1.027E-2</v>
      </c>
      <c r="F42" s="124">
        <v>2.0600000000000002E-3</v>
      </c>
      <c r="G42" t="str">
        <f t="shared" si="0"/>
        <v>No</v>
      </c>
    </row>
    <row r="43" spans="1:7" x14ac:dyDescent="0.35">
      <c r="A43" t="s">
        <v>208</v>
      </c>
      <c r="B43" t="s">
        <v>208</v>
      </c>
      <c r="C43" s="4" t="s">
        <v>92</v>
      </c>
      <c r="D43" s="4" t="s">
        <v>8</v>
      </c>
      <c r="E43" s="124">
        <v>1.15E-3</v>
      </c>
      <c r="F43" s="124">
        <v>2.3599999999999999E-2</v>
      </c>
      <c r="G43" t="str">
        <f t="shared" si="0"/>
        <v>No</v>
      </c>
    </row>
    <row r="44" spans="1:7" x14ac:dyDescent="0.35">
      <c r="A44" t="s">
        <v>209</v>
      </c>
      <c r="B44" t="s">
        <v>209</v>
      </c>
      <c r="C44" s="4" t="s">
        <v>91</v>
      </c>
      <c r="D44" s="4" t="s">
        <v>8</v>
      </c>
      <c r="E44" s="124">
        <v>9.1000000000000004E-3</v>
      </c>
      <c r="F44" s="124">
        <v>0</v>
      </c>
      <c r="G44" t="str">
        <f t="shared" si="0"/>
        <v>No</v>
      </c>
    </row>
    <row r="45" spans="1:7" x14ac:dyDescent="0.35">
      <c r="A45" t="s">
        <v>210</v>
      </c>
      <c r="B45" t="s">
        <v>210</v>
      </c>
      <c r="C45" s="4" t="s">
        <v>91</v>
      </c>
      <c r="D45" s="4" t="s">
        <v>8</v>
      </c>
      <c r="E45" s="124">
        <v>1.191E-2</v>
      </c>
      <c r="F45" s="124">
        <v>0</v>
      </c>
      <c r="G45" t="str">
        <f t="shared" si="0"/>
        <v>No</v>
      </c>
    </row>
    <row r="46" spans="1:7" x14ac:dyDescent="0.35">
      <c r="A46" t="s">
        <v>211</v>
      </c>
      <c r="B46" t="s">
        <v>211</v>
      </c>
      <c r="C46" s="4" t="s">
        <v>91</v>
      </c>
      <c r="D46" s="4" t="s">
        <v>8</v>
      </c>
      <c r="E46" s="124">
        <v>9.6500000000000006E-3</v>
      </c>
      <c r="F46" s="124">
        <v>0</v>
      </c>
      <c r="G46" t="str">
        <f t="shared" si="0"/>
        <v>No</v>
      </c>
    </row>
    <row r="47" spans="1:7" x14ac:dyDescent="0.35">
      <c r="A47" t="s">
        <v>259</v>
      </c>
      <c r="B47" t="s">
        <v>212</v>
      </c>
      <c r="C47" s="4" t="s">
        <v>91</v>
      </c>
      <c r="D47" s="4" t="s">
        <v>7</v>
      </c>
      <c r="E47" s="124">
        <v>5.11E-2</v>
      </c>
      <c r="F47" s="124">
        <v>2.2799999999999999E-3</v>
      </c>
      <c r="G47" t="str">
        <f t="shared" si="0"/>
        <v>No</v>
      </c>
    </row>
    <row r="48" spans="1:7" x14ac:dyDescent="0.35">
      <c r="A48" t="s">
        <v>257</v>
      </c>
      <c r="B48" t="s">
        <v>257</v>
      </c>
      <c r="C48" s="4" t="s">
        <v>91</v>
      </c>
      <c r="D48" s="4" t="s">
        <v>8</v>
      </c>
      <c r="E48" s="124">
        <v>1.9300000000000001E-2</v>
      </c>
      <c r="F48" s="124">
        <v>0</v>
      </c>
      <c r="G48" t="str">
        <f t="shared" si="0"/>
        <v>No</v>
      </c>
    </row>
    <row r="49" spans="1:7" x14ac:dyDescent="0.35">
      <c r="A49" t="s">
        <v>213</v>
      </c>
      <c r="B49" t="s">
        <v>213</v>
      </c>
      <c r="C49" s="4" t="s">
        <v>92</v>
      </c>
      <c r="D49" s="4" t="s">
        <v>8</v>
      </c>
      <c r="E49" s="124">
        <v>1.4080000000000001E-2</v>
      </c>
      <c r="F49" s="124">
        <v>4.1509999999999998E-2</v>
      </c>
      <c r="G49" t="str">
        <f t="shared" si="0"/>
        <v>No</v>
      </c>
    </row>
    <row r="50" spans="1:7" x14ac:dyDescent="0.35">
      <c r="A50" t="s">
        <v>214</v>
      </c>
      <c r="B50" t="s">
        <v>214</v>
      </c>
      <c r="C50" s="4" t="s">
        <v>92</v>
      </c>
      <c r="D50" s="4" t="s">
        <v>7</v>
      </c>
      <c r="E50" s="124">
        <v>1.025E-2</v>
      </c>
      <c r="F50" s="124">
        <v>1.1339999999999999E-2</v>
      </c>
      <c r="G50" t="str">
        <f t="shared" si="0"/>
        <v>No</v>
      </c>
    </row>
    <row r="51" spans="1:7" x14ac:dyDescent="0.35">
      <c r="A51" t="s">
        <v>215</v>
      </c>
      <c r="B51" t="s">
        <v>215</v>
      </c>
      <c r="C51" s="4" t="s">
        <v>92</v>
      </c>
      <c r="D51" s="4" t="s">
        <v>8</v>
      </c>
      <c r="E51" s="124">
        <v>5.9699999999999996E-3</v>
      </c>
      <c r="F51" s="124">
        <v>1.704E-2</v>
      </c>
      <c r="G51" t="str">
        <f t="shared" si="0"/>
        <v>No</v>
      </c>
    </row>
    <row r="52" spans="1:7" x14ac:dyDescent="0.35">
      <c r="A52" t="s">
        <v>216</v>
      </c>
      <c r="B52" t="s">
        <v>216</v>
      </c>
      <c r="C52" s="4" t="s">
        <v>91</v>
      </c>
      <c r="D52" s="4" t="s">
        <v>8</v>
      </c>
      <c r="E52" s="124">
        <v>1.54E-2</v>
      </c>
      <c r="F52" s="124">
        <v>0</v>
      </c>
      <c r="G52" t="str">
        <f t="shared" si="0"/>
        <v>No</v>
      </c>
    </row>
    <row r="53" spans="1:7" x14ac:dyDescent="0.35">
      <c r="A53" t="s">
        <v>217</v>
      </c>
      <c r="B53" t="s">
        <v>217</v>
      </c>
      <c r="C53" s="4" t="s">
        <v>91</v>
      </c>
      <c r="D53" s="4" t="s">
        <v>8</v>
      </c>
      <c r="E53" s="124">
        <v>1.047E-2</v>
      </c>
      <c r="F53" s="124">
        <v>0</v>
      </c>
      <c r="G53" t="str">
        <f t="shared" si="0"/>
        <v>No</v>
      </c>
    </row>
    <row r="54" spans="1:7" x14ac:dyDescent="0.35">
      <c r="A54" t="s">
        <v>218</v>
      </c>
      <c r="B54" t="s">
        <v>218</v>
      </c>
      <c r="C54" s="4" t="s">
        <v>92</v>
      </c>
      <c r="D54" s="4" t="s">
        <v>8</v>
      </c>
      <c r="E54" s="124">
        <v>5.2500000000000003E-3</v>
      </c>
      <c r="F54" s="124">
        <v>7.6499999999999997E-3</v>
      </c>
      <c r="G54" t="str">
        <f t="shared" si="0"/>
        <v>No</v>
      </c>
    </row>
    <row r="55" spans="1:7" x14ac:dyDescent="0.35">
      <c r="A55" t="s">
        <v>219</v>
      </c>
      <c r="B55" t="s">
        <v>219</v>
      </c>
      <c r="C55" s="4" t="s">
        <v>91</v>
      </c>
      <c r="D55" s="4" t="s">
        <v>7</v>
      </c>
      <c r="E55" s="124">
        <v>1.6250000000000001E-2</v>
      </c>
      <c r="F55" s="124">
        <v>3.6900000000000001E-3</v>
      </c>
      <c r="G55" t="str">
        <f t="shared" si="0"/>
        <v>No</v>
      </c>
    </row>
    <row r="56" spans="1:7" x14ac:dyDescent="0.35">
      <c r="A56" t="s">
        <v>220</v>
      </c>
      <c r="B56" t="s">
        <v>220</v>
      </c>
      <c r="C56" s="4" t="s">
        <v>92</v>
      </c>
      <c r="D56" s="4" t="s">
        <v>8</v>
      </c>
      <c r="E56" s="124">
        <v>2.5000000000000001E-3</v>
      </c>
      <c r="F56" s="124">
        <v>8.6300000000000005E-3</v>
      </c>
      <c r="G56" t="str">
        <f t="shared" si="0"/>
        <v>No</v>
      </c>
    </row>
    <row r="57" spans="1:7" x14ac:dyDescent="0.35">
      <c r="A57" t="s">
        <v>221</v>
      </c>
      <c r="B57" t="s">
        <v>221</v>
      </c>
      <c r="C57" s="4" t="s">
        <v>92</v>
      </c>
      <c r="D57" s="4" t="s">
        <v>8</v>
      </c>
      <c r="E57" s="124">
        <v>2.4299999999999999E-3</v>
      </c>
      <c r="F57" s="124">
        <v>1.823E-2</v>
      </c>
      <c r="G57" t="str">
        <f t="shared" si="0"/>
        <v>No</v>
      </c>
    </row>
    <row r="58" spans="1:7" x14ac:dyDescent="0.35">
      <c r="A58" t="s">
        <v>222</v>
      </c>
      <c r="B58" t="s">
        <v>222</v>
      </c>
      <c r="C58" s="4" t="s">
        <v>92</v>
      </c>
      <c r="D58" s="4" t="s">
        <v>8</v>
      </c>
      <c r="E58" s="124">
        <v>1.92E-3</v>
      </c>
      <c r="F58" s="124">
        <v>2.197E-2</v>
      </c>
      <c r="G58" t="str">
        <f t="shared" si="0"/>
        <v>No</v>
      </c>
    </row>
    <row r="59" spans="1:7" x14ac:dyDescent="0.35">
      <c r="A59" t="s">
        <v>223</v>
      </c>
      <c r="B59" t="s">
        <v>223</v>
      </c>
      <c r="C59" s="4" t="s">
        <v>91</v>
      </c>
      <c r="D59" s="4" t="s">
        <v>7</v>
      </c>
      <c r="E59" s="124">
        <v>3.1099999999999999E-3</v>
      </c>
      <c r="F59" s="124">
        <v>3.4199999999999999E-3</v>
      </c>
      <c r="G59" t="str">
        <f t="shared" si="0"/>
        <v>No</v>
      </c>
    </row>
    <row r="60" spans="1:7" x14ac:dyDescent="0.35">
      <c r="A60" t="s">
        <v>224</v>
      </c>
      <c r="B60" t="s">
        <v>224</v>
      </c>
      <c r="C60" s="4" t="s">
        <v>92</v>
      </c>
      <c r="D60" s="4" t="s">
        <v>8</v>
      </c>
      <c r="E60" s="124">
        <v>2.1700000000000001E-3</v>
      </c>
      <c r="F60" s="124">
        <v>2.197E-2</v>
      </c>
      <c r="G60" t="str">
        <f t="shared" si="0"/>
        <v>No</v>
      </c>
    </row>
    <row r="61" spans="1:7" x14ac:dyDescent="0.35">
      <c r="A61" t="s">
        <v>225</v>
      </c>
      <c r="B61" t="s">
        <v>189</v>
      </c>
      <c r="C61" s="4" t="s">
        <v>92</v>
      </c>
      <c r="D61" s="4" t="s">
        <v>8</v>
      </c>
      <c r="E61" s="124">
        <v>5.9999999999999995E-4</v>
      </c>
      <c r="F61" s="124">
        <v>2.66E-3</v>
      </c>
      <c r="G61" t="str">
        <f t="shared" si="0"/>
        <v>Yes, there are two providers in this LGA</v>
      </c>
    </row>
    <row r="62" spans="1:7" x14ac:dyDescent="0.35">
      <c r="A62" t="s">
        <v>226</v>
      </c>
      <c r="B62" t="s">
        <v>226</v>
      </c>
      <c r="C62" s="4" t="s">
        <v>91</v>
      </c>
      <c r="D62" s="4" t="s">
        <v>8</v>
      </c>
      <c r="E62" s="124">
        <v>5.7600000000000004E-3</v>
      </c>
      <c r="F62" s="124">
        <v>0</v>
      </c>
      <c r="G62" t="str">
        <f t="shared" si="0"/>
        <v>No</v>
      </c>
    </row>
    <row r="63" spans="1:7" x14ac:dyDescent="0.35">
      <c r="A63" t="s">
        <v>227</v>
      </c>
      <c r="B63" t="s">
        <v>227</v>
      </c>
      <c r="C63" s="4" t="s">
        <v>92</v>
      </c>
      <c r="D63" s="4" t="s">
        <v>8</v>
      </c>
      <c r="E63" s="124">
        <v>1.23E-3</v>
      </c>
      <c r="F63" s="124">
        <v>1.644E-2</v>
      </c>
      <c r="G63" t="str">
        <f t="shared" si="0"/>
        <v>No</v>
      </c>
    </row>
    <row r="64" spans="1:7" x14ac:dyDescent="0.35">
      <c r="A64" t="s">
        <v>228</v>
      </c>
      <c r="B64" t="s">
        <v>228</v>
      </c>
      <c r="C64" s="4" t="s">
        <v>92</v>
      </c>
      <c r="D64" s="4" t="s">
        <v>8</v>
      </c>
      <c r="E64" s="124">
        <v>2.5999999999999998E-4</v>
      </c>
      <c r="F64" s="124">
        <v>2.7699999999999999E-3</v>
      </c>
      <c r="G64" t="str">
        <f t="shared" si="0"/>
        <v>No</v>
      </c>
    </row>
    <row r="65" spans="1:7" x14ac:dyDescent="0.35">
      <c r="A65" t="s">
        <v>229</v>
      </c>
      <c r="B65" t="s">
        <v>229</v>
      </c>
      <c r="C65" s="4" t="s">
        <v>92</v>
      </c>
      <c r="D65" s="4" t="s">
        <v>8</v>
      </c>
      <c r="E65" s="124">
        <v>3.8800000000000002E-3</v>
      </c>
      <c r="F65" s="124">
        <v>2.7130000000000001E-2</v>
      </c>
      <c r="G65" t="str">
        <f t="shared" si="0"/>
        <v>No</v>
      </c>
    </row>
    <row r="66" spans="1:7" x14ac:dyDescent="0.35">
      <c r="A66" t="s">
        <v>230</v>
      </c>
      <c r="B66" t="s">
        <v>230</v>
      </c>
      <c r="C66" s="4" t="s">
        <v>92</v>
      </c>
      <c r="D66" s="4" t="s">
        <v>8</v>
      </c>
      <c r="E66" s="124">
        <v>2.49E-3</v>
      </c>
      <c r="F66" s="124">
        <v>2.751E-2</v>
      </c>
      <c r="G66" t="str">
        <f t="shared" si="0"/>
        <v>No</v>
      </c>
    </row>
    <row r="67" spans="1:7" x14ac:dyDescent="0.35">
      <c r="A67" t="s">
        <v>231</v>
      </c>
      <c r="B67" t="s">
        <v>231</v>
      </c>
      <c r="C67" s="4" t="s">
        <v>91</v>
      </c>
      <c r="D67" s="4" t="s">
        <v>8</v>
      </c>
      <c r="E67" s="124">
        <v>3.4399999999999999E-3</v>
      </c>
      <c r="F67" s="124">
        <v>0</v>
      </c>
      <c r="G67" t="str">
        <f t="shared" si="0"/>
        <v>No</v>
      </c>
    </row>
    <row r="68" spans="1:7" x14ac:dyDescent="0.35">
      <c r="A68" t="s">
        <v>232</v>
      </c>
      <c r="B68" t="s">
        <v>232</v>
      </c>
      <c r="C68" s="4" t="s">
        <v>92</v>
      </c>
      <c r="D68" s="4" t="s">
        <v>8</v>
      </c>
      <c r="E68" s="124">
        <v>1.56E-3</v>
      </c>
      <c r="F68" s="124">
        <v>1.4E-2</v>
      </c>
      <c r="G68" t="str">
        <f t="shared" ref="G68:G83" si="1">IF(COUNTIF($B$3:$B$83,B68)=1,$H$3,$H$4)</f>
        <v>No</v>
      </c>
    </row>
    <row r="69" spans="1:7" x14ac:dyDescent="0.35">
      <c r="A69" t="s">
        <v>233</v>
      </c>
      <c r="B69" t="s">
        <v>233</v>
      </c>
      <c r="C69" s="4" t="s">
        <v>92</v>
      </c>
      <c r="D69" s="4" t="s">
        <v>8</v>
      </c>
      <c r="E69" s="124">
        <v>2.4199999999999998E-3</v>
      </c>
      <c r="F69" s="124">
        <v>1.025E-2</v>
      </c>
      <c r="G69" t="str">
        <f t="shared" si="1"/>
        <v>No</v>
      </c>
    </row>
    <row r="70" spans="1:7" x14ac:dyDescent="0.35">
      <c r="A70" t="s">
        <v>234</v>
      </c>
      <c r="B70" t="s">
        <v>234</v>
      </c>
      <c r="C70" s="4" t="s">
        <v>92</v>
      </c>
      <c r="D70" s="4" t="s">
        <v>8</v>
      </c>
      <c r="E70" s="124">
        <v>4.3E-3</v>
      </c>
      <c r="F70" s="124">
        <v>2.946E-2</v>
      </c>
      <c r="G70" t="str">
        <f t="shared" si="1"/>
        <v>No</v>
      </c>
    </row>
    <row r="71" spans="1:7" x14ac:dyDescent="0.35">
      <c r="A71" t="s">
        <v>235</v>
      </c>
      <c r="B71" t="s">
        <v>235</v>
      </c>
      <c r="C71" s="4" t="s">
        <v>92</v>
      </c>
      <c r="D71" s="4" t="s">
        <v>8</v>
      </c>
      <c r="E71" s="124">
        <v>7.7999999999999999E-4</v>
      </c>
      <c r="F71" s="124">
        <v>2.9350000000000001E-2</v>
      </c>
      <c r="G71" t="str">
        <f t="shared" si="1"/>
        <v>No</v>
      </c>
    </row>
    <row r="72" spans="1:7" x14ac:dyDescent="0.35">
      <c r="A72" t="s">
        <v>236</v>
      </c>
      <c r="B72" t="s">
        <v>236</v>
      </c>
      <c r="C72" s="4" t="s">
        <v>92</v>
      </c>
      <c r="D72" s="4" t="s">
        <v>8</v>
      </c>
      <c r="E72" s="124">
        <v>5.0699999999999999E-3</v>
      </c>
      <c r="F72" s="124">
        <v>2.0070000000000001E-2</v>
      </c>
      <c r="G72" t="str">
        <f t="shared" si="1"/>
        <v>No</v>
      </c>
    </row>
    <row r="73" spans="1:7" x14ac:dyDescent="0.35">
      <c r="A73" t="s">
        <v>237</v>
      </c>
      <c r="B73" t="s">
        <v>237</v>
      </c>
      <c r="C73" s="4" t="s">
        <v>92</v>
      </c>
      <c r="D73" s="4" t="s">
        <v>8</v>
      </c>
      <c r="E73" s="124">
        <v>5.5199999999999997E-3</v>
      </c>
      <c r="F73" s="124">
        <v>8.9499999999999996E-3</v>
      </c>
      <c r="G73" t="str">
        <f t="shared" si="1"/>
        <v>No</v>
      </c>
    </row>
    <row r="74" spans="1:7" x14ac:dyDescent="0.35">
      <c r="A74" t="s">
        <v>238</v>
      </c>
      <c r="B74" t="s">
        <v>239</v>
      </c>
      <c r="C74" s="4" t="s">
        <v>92</v>
      </c>
      <c r="D74" s="4" t="s">
        <v>8</v>
      </c>
      <c r="E74" s="124">
        <v>1.1199999999999999E-3</v>
      </c>
      <c r="F74" s="124">
        <v>3.7929999999999998E-2</v>
      </c>
      <c r="G74" t="str">
        <f t="shared" si="1"/>
        <v>No</v>
      </c>
    </row>
    <row r="75" spans="1:7" x14ac:dyDescent="0.35">
      <c r="A75" t="s">
        <v>240</v>
      </c>
      <c r="B75" t="s">
        <v>240</v>
      </c>
      <c r="C75" s="4" t="s">
        <v>92</v>
      </c>
      <c r="D75" s="4" t="s">
        <v>8</v>
      </c>
      <c r="E75" s="124">
        <v>6.7000000000000002E-4</v>
      </c>
      <c r="F75" s="124">
        <v>3.9059999999999997E-2</v>
      </c>
      <c r="G75" t="str">
        <f t="shared" si="1"/>
        <v>No</v>
      </c>
    </row>
    <row r="76" spans="1:7" x14ac:dyDescent="0.35">
      <c r="A76" t="s">
        <v>241</v>
      </c>
      <c r="B76" t="s">
        <v>241</v>
      </c>
      <c r="C76" s="4" t="s">
        <v>91</v>
      </c>
      <c r="D76" s="4" t="s">
        <v>8</v>
      </c>
      <c r="E76" s="124">
        <v>1.2930000000000001E-2</v>
      </c>
      <c r="F76" s="124">
        <v>0</v>
      </c>
      <c r="G76" t="str">
        <f t="shared" si="1"/>
        <v>No</v>
      </c>
    </row>
    <row r="77" spans="1:7" x14ac:dyDescent="0.35">
      <c r="A77" t="s">
        <v>242</v>
      </c>
      <c r="B77" t="s">
        <v>242</v>
      </c>
      <c r="C77" s="4" t="s">
        <v>91</v>
      </c>
      <c r="D77" s="4" t="s">
        <v>7</v>
      </c>
      <c r="E77" s="124">
        <v>4.8129999999999999E-2</v>
      </c>
      <c r="F77" s="124">
        <v>3.5799999999999998E-3</v>
      </c>
      <c r="G77" t="str">
        <f t="shared" si="1"/>
        <v>No</v>
      </c>
    </row>
    <row r="78" spans="1:7" x14ac:dyDescent="0.35">
      <c r="A78" t="s">
        <v>243</v>
      </c>
      <c r="B78" t="s">
        <v>243</v>
      </c>
      <c r="C78" s="4" t="s">
        <v>92</v>
      </c>
      <c r="D78" s="4" t="s">
        <v>8</v>
      </c>
      <c r="E78" s="124">
        <v>9.1999999999999998E-3</v>
      </c>
      <c r="F78" s="124">
        <v>7.11E-3</v>
      </c>
      <c r="G78" t="str">
        <f t="shared" si="1"/>
        <v>No</v>
      </c>
    </row>
    <row r="79" spans="1:7" x14ac:dyDescent="0.35">
      <c r="A79" t="s">
        <v>244</v>
      </c>
      <c r="B79" t="s">
        <v>244</v>
      </c>
      <c r="C79" s="4" t="s">
        <v>91</v>
      </c>
      <c r="D79" s="4" t="s">
        <v>7</v>
      </c>
      <c r="E79" s="124">
        <v>8.0100000000000005E-2</v>
      </c>
      <c r="F79" s="124">
        <v>2.98E-3</v>
      </c>
      <c r="G79" t="str">
        <f t="shared" si="1"/>
        <v>No</v>
      </c>
    </row>
    <row r="80" spans="1:7" x14ac:dyDescent="0.35">
      <c r="A80" t="s">
        <v>245</v>
      </c>
      <c r="B80" t="s">
        <v>245</v>
      </c>
      <c r="C80" s="4" t="s">
        <v>91</v>
      </c>
      <c r="D80" s="4" t="s">
        <v>8</v>
      </c>
      <c r="E80" s="124">
        <v>6.9199999999999999E-3</v>
      </c>
      <c r="F80" s="124">
        <v>0</v>
      </c>
      <c r="G80" t="str">
        <f t="shared" si="1"/>
        <v>No</v>
      </c>
    </row>
    <row r="81" spans="1:7" x14ac:dyDescent="0.35">
      <c r="A81" t="s">
        <v>246</v>
      </c>
      <c r="B81" t="s">
        <v>246</v>
      </c>
      <c r="C81" s="4" t="s">
        <v>91</v>
      </c>
      <c r="D81" s="4" t="s">
        <v>7</v>
      </c>
      <c r="E81" s="124">
        <v>1.567E-2</v>
      </c>
      <c r="F81" s="124">
        <v>1.9800000000000002E-2</v>
      </c>
      <c r="G81" t="str">
        <f t="shared" si="1"/>
        <v>No</v>
      </c>
    </row>
    <row r="82" spans="1:7" x14ac:dyDescent="0.35">
      <c r="A82" t="s">
        <v>247</v>
      </c>
      <c r="B82" t="s">
        <v>182</v>
      </c>
      <c r="C82" s="4" t="s">
        <v>92</v>
      </c>
      <c r="D82" s="4" t="s">
        <v>8</v>
      </c>
      <c r="E82" s="124">
        <v>7.6000000000000004E-4</v>
      </c>
      <c r="F82" s="124">
        <v>3.8899999999999998E-3</v>
      </c>
      <c r="G82" t="str">
        <f t="shared" si="1"/>
        <v>Yes, there are two providers in this LGA</v>
      </c>
    </row>
    <row r="83" spans="1:7" x14ac:dyDescent="0.35">
      <c r="A83" t="s">
        <v>248</v>
      </c>
      <c r="B83" t="s">
        <v>248</v>
      </c>
      <c r="C83" s="4" t="s">
        <v>92</v>
      </c>
      <c r="D83" s="4" t="s">
        <v>8</v>
      </c>
      <c r="E83" s="124">
        <v>1.32E-3</v>
      </c>
      <c r="F83" s="124">
        <v>3.6679999999999997E-2</v>
      </c>
      <c r="G83" t="str">
        <f t="shared" si="1"/>
        <v>No</v>
      </c>
    </row>
  </sheetData>
  <sheetProtection sheet="1" objects="1" scenarios="1"/>
  <sortState xmlns:xlrd2="http://schemas.microsoft.com/office/spreadsheetml/2017/richdata2" ref="A3:F83">
    <sortCondition ref="A3:A83"/>
  </sortState>
  <conditionalFormatting sqref="C1 C3:C21 C76:C1048576 C23:C74">
    <cfRule type="cellIs" dxfId="7" priority="12" operator="equal">
      <formula>"Rural"</formula>
    </cfRule>
    <cfRule type="cellIs" dxfId="6" priority="13" operator="equal">
      <formula>"Metro"</formula>
    </cfRule>
  </conditionalFormatting>
  <conditionalFormatting sqref="D1 D3:D1048576">
    <cfRule type="cellIs" dxfId="5" priority="9" operator="equal">
      <formula>"Yes"</formula>
    </cfRule>
    <cfRule type="cellIs" dxfId="4" priority="11" operator="equal">
      <formula>"No"</formula>
    </cfRule>
  </conditionalFormatting>
  <conditionalFormatting sqref="C75">
    <cfRule type="cellIs" dxfId="3" priority="7" operator="equal">
      <formula>"Rural"</formula>
    </cfRule>
    <cfRule type="cellIs" dxfId="2" priority="8" operator="equal">
      <formula>"Metro"</formula>
    </cfRule>
  </conditionalFormatting>
  <conditionalFormatting sqref="C22">
    <cfRule type="cellIs" dxfId="1" priority="3" operator="equal">
      <formula>"Rural"</formula>
    </cfRule>
    <cfRule type="cellIs" dxfId="0" priority="4" operator="equal">
      <formula>"Metro"</formula>
    </cfRule>
  </conditionalFormatting>
  <pageMargins left="0.7" right="0.7" top="0.75" bottom="0.75" header="0.3" footer="0.3"/>
  <pageSetup paperSize="9" orientation="portrait"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1:S96"/>
  <sheetViews>
    <sheetView zoomScale="80" zoomScaleNormal="80" zoomScalePageLayoutView="50" workbookViewId="0"/>
  </sheetViews>
  <sheetFormatPr defaultColWidth="9.1796875" defaultRowHeight="15" customHeight="1" x14ac:dyDescent="0.55000000000000004"/>
  <cols>
    <col min="1" max="1" width="4.7265625" style="300" customWidth="1"/>
    <col min="2" max="2" width="4.7265625" style="296" customWidth="1"/>
    <col min="3" max="3" width="17.81640625" style="298" customWidth="1"/>
    <col min="4" max="4" width="25.453125" style="297" customWidth="1"/>
    <col min="5" max="5" width="5.7265625" style="297" customWidth="1"/>
    <col min="6" max="6" width="23.26953125" style="298" customWidth="1"/>
    <col min="7" max="7" width="5.7265625" style="299" customWidth="1"/>
    <col min="8" max="8" width="23.7265625" style="298" customWidth="1"/>
    <col min="9" max="9" width="5.7265625" style="299" customWidth="1"/>
    <col min="10" max="10" width="23.7265625" style="298" customWidth="1"/>
    <col min="11" max="11" width="2.1796875" style="299" customWidth="1"/>
    <col min="12" max="12" width="2.54296875" style="299" customWidth="1"/>
    <col min="13" max="13" width="23.26953125" style="298" customWidth="1"/>
    <col min="14" max="14" width="5.7265625" style="299" customWidth="1"/>
    <col min="15" max="15" width="23.26953125" style="298" customWidth="1"/>
    <col min="16" max="16" width="5.7265625" style="298" customWidth="1"/>
    <col min="17" max="17" width="23.26953125" style="298" customWidth="1"/>
    <col min="18" max="18" width="5.7265625" style="298" customWidth="1"/>
    <col min="19" max="19" width="16.26953125" style="298" customWidth="1"/>
    <col min="20" max="16384" width="9.1796875" style="298"/>
  </cols>
  <sheetData>
    <row r="1" spans="1:15" ht="23.5" x14ac:dyDescent="0.55000000000000004">
      <c r="A1" s="295" t="s">
        <v>10</v>
      </c>
      <c r="C1" s="297"/>
      <c r="D1" s="298"/>
    </row>
    <row r="2" spans="1:15" ht="15" customHeight="1" x14ac:dyDescent="0.55000000000000004">
      <c r="C2" s="297"/>
      <c r="D2" s="298"/>
      <c r="J2" s="389" t="s">
        <v>11</v>
      </c>
    </row>
    <row r="3" spans="1:15" ht="23.25" customHeight="1" x14ac:dyDescent="0.55000000000000004">
      <c r="C3" s="301" t="s">
        <v>12</v>
      </c>
      <c r="D3" s="397"/>
      <c r="E3" s="398"/>
      <c r="J3" s="390"/>
    </row>
    <row r="4" spans="1:15" s="305" customFormat="1" ht="15" customHeight="1" x14ac:dyDescent="0.35">
      <c r="A4" s="302"/>
      <c r="B4" s="303"/>
      <c r="C4" s="304" t="s">
        <v>14</v>
      </c>
      <c r="D4" s="399" t="e">
        <f>VLOOKUP(D3,lists!$A$2:$D$83,2,)</f>
        <v>#N/A</v>
      </c>
      <c r="E4" s="399"/>
      <c r="J4" s="390"/>
    </row>
    <row r="5" spans="1:15" s="305" customFormat="1" ht="15" customHeight="1" x14ac:dyDescent="0.35">
      <c r="A5" s="302"/>
      <c r="B5" s="303"/>
      <c r="C5" s="304" t="s">
        <v>15</v>
      </c>
      <c r="D5" s="399" t="e">
        <f>VLOOKUP(D3,lists!$A$2:$D$83,3,)</f>
        <v>#N/A</v>
      </c>
      <c r="E5" s="399"/>
      <c r="H5" s="306"/>
      <c r="J5" s="306"/>
    </row>
    <row r="6" spans="1:15" ht="15" customHeight="1" x14ac:dyDescent="0.55000000000000004">
      <c r="C6" s="297"/>
      <c r="D6" s="298"/>
    </row>
    <row r="7" spans="1:15" ht="37" x14ac:dyDescent="0.55000000000000004">
      <c r="C7" s="297"/>
      <c r="F7" s="307" t="s">
        <v>249</v>
      </c>
      <c r="G7" s="308"/>
      <c r="H7" s="309" t="s">
        <v>338</v>
      </c>
      <c r="I7" s="308"/>
      <c r="J7" s="310" t="s">
        <v>16</v>
      </c>
    </row>
    <row r="8" spans="1:15" ht="58.5" customHeight="1" x14ac:dyDescent="0.55000000000000004">
      <c r="C8" s="297"/>
      <c r="D8" s="298"/>
      <c r="F8" s="311" t="s">
        <v>374</v>
      </c>
      <c r="H8" s="312" t="s">
        <v>279</v>
      </c>
      <c r="I8" s="313"/>
      <c r="J8" s="391" t="s">
        <v>278</v>
      </c>
      <c r="K8" s="392"/>
      <c r="L8" s="392"/>
      <c r="M8" s="392"/>
    </row>
    <row r="9" spans="1:15" ht="15" customHeight="1" x14ac:dyDescent="0.55000000000000004">
      <c r="C9" s="297"/>
      <c r="D9" s="298"/>
      <c r="F9" s="314"/>
      <c r="H9" s="315"/>
      <c r="J9" s="316"/>
    </row>
    <row r="10" spans="1:15" ht="23.5" x14ac:dyDescent="0.55000000000000004">
      <c r="B10" s="317" t="s">
        <v>17</v>
      </c>
      <c r="D10" s="298"/>
      <c r="F10" s="314"/>
      <c r="H10" s="315"/>
      <c r="J10" s="316"/>
    </row>
    <row r="11" spans="1:15" ht="15" customHeight="1" x14ac:dyDescent="0.55000000000000004">
      <c r="C11" s="297"/>
      <c r="D11" s="298"/>
      <c r="F11" s="314"/>
      <c r="H11" s="315"/>
      <c r="J11" s="316"/>
    </row>
    <row r="12" spans="1:15" ht="15" customHeight="1" thickBot="1" x14ac:dyDescent="0.6">
      <c r="C12" s="318" t="s">
        <v>18</v>
      </c>
      <c r="D12" s="298"/>
      <c r="E12" s="298"/>
      <c r="F12" s="314"/>
      <c r="H12" s="319"/>
      <c r="J12" s="320"/>
    </row>
    <row r="13" spans="1:15" ht="15" customHeight="1" x14ac:dyDescent="0.55000000000000004">
      <c r="D13" s="298"/>
      <c r="E13" s="321"/>
      <c r="F13" s="322"/>
      <c r="G13" s="323"/>
      <c r="H13" s="324"/>
      <c r="I13" s="323"/>
      <c r="J13" s="325"/>
      <c r="K13" s="323"/>
      <c r="L13" s="326"/>
    </row>
    <row r="14" spans="1:15" ht="15" customHeight="1" x14ac:dyDescent="0.55000000000000004">
      <c r="D14" s="327" t="s">
        <v>292</v>
      </c>
      <c r="E14" s="298"/>
      <c r="F14" s="136"/>
      <c r="H14" s="134"/>
      <c r="J14" s="328">
        <f>IF(H14="",F14,H14)</f>
        <v>0</v>
      </c>
      <c r="L14" s="329"/>
      <c r="M14" s="388" t="s">
        <v>375</v>
      </c>
      <c r="O14" s="297" t="s">
        <v>344</v>
      </c>
    </row>
    <row r="15" spans="1:15" ht="15" customHeight="1" x14ac:dyDescent="0.55000000000000004">
      <c r="D15" s="327" t="s">
        <v>19</v>
      </c>
      <c r="E15" s="298"/>
      <c r="F15" s="136"/>
      <c r="H15" s="134"/>
      <c r="J15" s="328">
        <f t="shared" ref="J15:J19" si="0">IF(H15="",F15,H15)</f>
        <v>0</v>
      </c>
      <c r="L15" s="329"/>
      <c r="M15" s="388"/>
      <c r="O15" s="297" t="s">
        <v>345</v>
      </c>
    </row>
    <row r="16" spans="1:15" ht="15" customHeight="1" x14ac:dyDescent="0.55000000000000004">
      <c r="D16" s="327" t="s">
        <v>64</v>
      </c>
      <c r="E16" s="298"/>
      <c r="F16" s="87">
        <f>F14+F15</f>
        <v>0</v>
      </c>
      <c r="H16" s="135">
        <f>H14+H15</f>
        <v>0</v>
      </c>
      <c r="J16" s="328">
        <f>J14+J15</f>
        <v>0</v>
      </c>
      <c r="L16" s="329"/>
      <c r="M16" s="388"/>
      <c r="O16" s="298" t="s">
        <v>346</v>
      </c>
    </row>
    <row r="17" spans="1:19" ht="15" customHeight="1" x14ac:dyDescent="0.55000000000000004">
      <c r="D17" s="330" t="s">
        <v>293</v>
      </c>
      <c r="E17" s="298"/>
      <c r="F17" s="136"/>
      <c r="H17" s="134"/>
      <c r="J17" s="328">
        <f t="shared" si="0"/>
        <v>0</v>
      </c>
      <c r="L17" s="329"/>
      <c r="M17" s="388"/>
      <c r="O17" s="297" t="s">
        <v>347</v>
      </c>
    </row>
    <row r="18" spans="1:19" ht="15" customHeight="1" x14ac:dyDescent="0.55000000000000004">
      <c r="D18" s="330" t="s">
        <v>294</v>
      </c>
      <c r="E18" s="298"/>
      <c r="F18" s="136"/>
      <c r="H18" s="134"/>
      <c r="J18" s="328">
        <f t="shared" si="0"/>
        <v>0</v>
      </c>
      <c r="L18" s="329"/>
      <c r="M18" s="388"/>
      <c r="O18" s="297" t="s">
        <v>348</v>
      </c>
    </row>
    <row r="19" spans="1:19" ht="15" customHeight="1" x14ac:dyDescent="0.55000000000000004">
      <c r="D19" s="327" t="s">
        <v>295</v>
      </c>
      <c r="E19" s="298"/>
      <c r="F19" s="136"/>
      <c r="H19" s="134"/>
      <c r="J19" s="328">
        <f t="shared" si="0"/>
        <v>0</v>
      </c>
      <c r="L19" s="329"/>
      <c r="M19" s="388"/>
      <c r="O19" s="297" t="s">
        <v>349</v>
      </c>
    </row>
    <row r="20" spans="1:19" ht="15" customHeight="1" x14ac:dyDescent="0.55000000000000004">
      <c r="D20" s="327" t="s">
        <v>268</v>
      </c>
      <c r="E20" s="298"/>
      <c r="F20" s="87">
        <f>F19+F15</f>
        <v>0</v>
      </c>
      <c r="H20" s="135">
        <f>H19+H15</f>
        <v>0</v>
      </c>
      <c r="J20" s="328">
        <f>J19+J15</f>
        <v>0</v>
      </c>
      <c r="L20" s="329"/>
      <c r="M20" s="388"/>
      <c r="O20" s="298" t="s">
        <v>350</v>
      </c>
    </row>
    <row r="21" spans="1:19" ht="15" customHeight="1" thickBot="1" x14ac:dyDescent="0.6">
      <c r="D21" s="298"/>
      <c r="E21" s="331"/>
      <c r="F21" s="332"/>
      <c r="G21" s="333"/>
      <c r="H21" s="334"/>
      <c r="I21" s="333"/>
      <c r="J21" s="335"/>
      <c r="K21" s="333"/>
      <c r="L21" s="336"/>
    </row>
    <row r="22" spans="1:19" ht="15" customHeight="1" x14ac:dyDescent="0.55000000000000004">
      <c r="C22" s="318" t="s">
        <v>351</v>
      </c>
      <c r="F22" s="314"/>
      <c r="H22" s="315"/>
      <c r="J22" s="316"/>
    </row>
    <row r="23" spans="1:19" ht="15" customHeight="1" x14ac:dyDescent="0.55000000000000004">
      <c r="C23" s="297"/>
      <c r="F23" s="314"/>
      <c r="H23" s="315"/>
      <c r="J23" s="316"/>
    </row>
    <row r="24" spans="1:19" s="339" customFormat="1" ht="30" customHeight="1" x14ac:dyDescent="0.35">
      <c r="A24" s="337"/>
      <c r="B24" s="338"/>
      <c r="C24" s="404" t="s">
        <v>352</v>
      </c>
      <c r="D24" s="404"/>
      <c r="F24" s="239"/>
      <c r="G24" s="340"/>
      <c r="H24" s="240"/>
      <c r="I24" s="340"/>
      <c r="J24" s="341">
        <f>IF(H24="",F24,H24)</f>
        <v>0</v>
      </c>
      <c r="K24" s="340"/>
      <c r="L24" s="340"/>
      <c r="M24" s="388" t="s">
        <v>353</v>
      </c>
      <c r="N24" s="388"/>
      <c r="O24" s="388"/>
      <c r="P24" s="388"/>
      <c r="Q24" s="388"/>
    </row>
    <row r="25" spans="1:19" ht="15" customHeight="1" x14ac:dyDescent="0.55000000000000004">
      <c r="D25" s="298"/>
      <c r="E25" s="298"/>
      <c r="F25" s="88"/>
      <c r="H25" s="315"/>
      <c r="J25" s="316"/>
    </row>
    <row r="26" spans="1:19" ht="15" customHeight="1" x14ac:dyDescent="0.55000000000000004">
      <c r="C26" s="318" t="s">
        <v>23</v>
      </c>
      <c r="D26" s="298"/>
      <c r="E26" s="298"/>
      <c r="F26" s="314"/>
      <c r="G26" s="298"/>
      <c r="H26" s="315"/>
      <c r="I26" s="298"/>
      <c r="J26" s="316"/>
      <c r="K26" s="298"/>
      <c r="L26" s="298"/>
    </row>
    <row r="27" spans="1:19" ht="15" customHeight="1" x14ac:dyDescent="0.55000000000000004">
      <c r="D27" s="298"/>
      <c r="E27" s="298"/>
      <c r="F27" s="314"/>
      <c r="H27" s="315"/>
      <c r="J27" s="316"/>
    </row>
    <row r="28" spans="1:19" ht="21.75" customHeight="1" x14ac:dyDescent="0.55000000000000004">
      <c r="C28" s="384" t="s">
        <v>24</v>
      </c>
      <c r="D28" s="384"/>
      <c r="E28" s="384"/>
      <c r="F28" s="384"/>
      <c r="G28" s="384"/>
      <c r="H28" s="384"/>
      <c r="I28" s="384"/>
      <c r="J28" s="385"/>
      <c r="M28" s="342" t="s">
        <v>25</v>
      </c>
    </row>
    <row r="29" spans="1:19" ht="21.75" customHeight="1" x14ac:dyDescent="0.55000000000000004">
      <c r="C29" s="384"/>
      <c r="D29" s="384"/>
      <c r="E29" s="384"/>
      <c r="F29" s="384"/>
      <c r="G29" s="384"/>
      <c r="H29" s="384"/>
      <c r="I29" s="384"/>
      <c r="J29" s="385"/>
      <c r="M29" s="400" t="s">
        <v>26</v>
      </c>
      <c r="N29" s="401"/>
      <c r="O29" s="401"/>
      <c r="P29" s="343"/>
      <c r="Q29" s="405" t="s">
        <v>271</v>
      </c>
    </row>
    <row r="30" spans="1:19" ht="21.75" customHeight="1" x14ac:dyDescent="0.55000000000000004">
      <c r="C30" s="384"/>
      <c r="D30" s="384"/>
      <c r="E30" s="384"/>
      <c r="F30" s="384"/>
      <c r="G30" s="384"/>
      <c r="H30" s="384"/>
      <c r="I30" s="384"/>
      <c r="J30" s="385"/>
      <c r="M30" s="402"/>
      <c r="N30" s="403"/>
      <c r="O30" s="403"/>
      <c r="P30" s="344"/>
      <c r="Q30" s="406"/>
    </row>
    <row r="31" spans="1:19" ht="15" customHeight="1" x14ac:dyDescent="0.55000000000000004">
      <c r="D31" s="298"/>
      <c r="E31" s="298"/>
      <c r="F31" s="314"/>
      <c r="H31" s="345"/>
      <c r="J31" s="346"/>
      <c r="K31" s="298"/>
      <c r="L31" s="298"/>
      <c r="M31" s="347" t="s">
        <v>272</v>
      </c>
      <c r="N31" s="344"/>
      <c r="O31" s="348" t="s">
        <v>27</v>
      </c>
      <c r="P31" s="344"/>
      <c r="Q31" s="406"/>
      <c r="S31" s="349"/>
    </row>
    <row r="32" spans="1:19" ht="47.25" customHeight="1" x14ac:dyDescent="0.55000000000000004">
      <c r="C32" s="383" t="s">
        <v>31</v>
      </c>
      <c r="D32" s="383"/>
      <c r="E32" s="350"/>
      <c r="F32" s="351" t="e">
        <f>VLOOKUP($D$3,lists!$A$1:$F$83,5,0)</f>
        <v>#N/A</v>
      </c>
      <c r="G32" s="350"/>
      <c r="H32" s="376"/>
      <c r="I32" s="350"/>
      <c r="J32" s="352" t="e">
        <f>IF(H32="",F32,H32)</f>
        <v>#N/A</v>
      </c>
      <c r="K32" s="298"/>
      <c r="L32" s="298"/>
      <c r="M32" s="117">
        <v>1500</v>
      </c>
      <c r="N32" s="353" t="s">
        <v>28</v>
      </c>
      <c r="O32" s="118">
        <v>100000</v>
      </c>
      <c r="P32" s="353" t="s">
        <v>29</v>
      </c>
      <c r="Q32" s="116">
        <v>1.4999999999999999E-2</v>
      </c>
    </row>
    <row r="33" spans="2:17" ht="15" customHeight="1" x14ac:dyDescent="0.55000000000000004">
      <c r="D33" s="298"/>
      <c r="E33" s="298"/>
      <c r="F33" s="314"/>
      <c r="H33" s="345"/>
      <c r="J33" s="346"/>
      <c r="K33" s="298"/>
      <c r="L33" s="298"/>
    </row>
    <row r="34" spans="2:17" ht="15" customHeight="1" x14ac:dyDescent="0.55000000000000004">
      <c r="C34" s="318" t="s">
        <v>32</v>
      </c>
      <c r="D34" s="298"/>
      <c r="E34" s="298"/>
      <c r="F34" s="314"/>
      <c r="H34" s="315"/>
      <c r="J34" s="316"/>
      <c r="K34" s="298"/>
      <c r="L34" s="298"/>
    </row>
    <row r="35" spans="2:17" ht="15" customHeight="1" x14ac:dyDescent="0.55000000000000004">
      <c r="D35" s="298"/>
      <c r="E35" s="298"/>
      <c r="F35" s="314"/>
      <c r="H35" s="315"/>
      <c r="J35" s="316"/>
      <c r="K35" s="298"/>
      <c r="L35" s="298"/>
    </row>
    <row r="36" spans="2:17" ht="21" customHeight="1" x14ac:dyDescent="0.55000000000000004">
      <c r="C36" s="384" t="s">
        <v>33</v>
      </c>
      <c r="D36" s="384"/>
      <c r="E36" s="384"/>
      <c r="F36" s="384"/>
      <c r="G36" s="384"/>
      <c r="H36" s="384"/>
      <c r="I36" s="384"/>
      <c r="J36" s="385"/>
    </row>
    <row r="37" spans="2:17" ht="21" customHeight="1" x14ac:dyDescent="0.55000000000000004">
      <c r="C37" s="384"/>
      <c r="D37" s="384"/>
      <c r="E37" s="384"/>
      <c r="F37" s="384"/>
      <c r="G37" s="384"/>
      <c r="H37" s="384"/>
      <c r="I37" s="384"/>
      <c r="J37" s="385"/>
      <c r="M37" s="342" t="s">
        <v>25</v>
      </c>
      <c r="N37" s="298"/>
    </row>
    <row r="38" spans="2:17" ht="21" customHeight="1" x14ac:dyDescent="0.55000000000000004">
      <c r="C38" s="384"/>
      <c r="D38" s="384"/>
      <c r="E38" s="384"/>
      <c r="F38" s="384"/>
      <c r="G38" s="384"/>
      <c r="H38" s="384"/>
      <c r="I38" s="384"/>
      <c r="J38" s="385"/>
      <c r="M38" s="393" t="s">
        <v>273</v>
      </c>
      <c r="N38" s="395"/>
      <c r="O38" s="395" t="s">
        <v>34</v>
      </c>
      <c r="P38" s="395"/>
      <c r="Q38" s="381" t="s">
        <v>271</v>
      </c>
    </row>
    <row r="39" spans="2:17" ht="15" customHeight="1" x14ac:dyDescent="0.55000000000000004">
      <c r="C39" s="354"/>
      <c r="D39" s="354"/>
      <c r="E39" s="354"/>
      <c r="F39" s="314"/>
      <c r="H39" s="315"/>
      <c r="J39" s="316"/>
      <c r="M39" s="394"/>
      <c r="N39" s="396"/>
      <c r="O39" s="396"/>
      <c r="P39" s="396"/>
      <c r="Q39" s="382"/>
    </row>
    <row r="40" spans="2:17" ht="30.75" customHeight="1" x14ac:dyDescent="0.55000000000000004">
      <c r="C40" s="383" t="s">
        <v>35</v>
      </c>
      <c r="D40" s="383"/>
      <c r="E40" s="350"/>
      <c r="F40" s="351" t="e">
        <f>VLOOKUP($D$3,lists!$A$1:$F$83,6,0)</f>
        <v>#N/A</v>
      </c>
      <c r="G40" s="350"/>
      <c r="H40" s="376"/>
      <c r="I40" s="350"/>
      <c r="J40" s="352" t="e">
        <f>IF(H40="",F40,H40)</f>
        <v>#N/A</v>
      </c>
      <c r="K40" s="354"/>
      <c r="L40" s="354"/>
      <c r="M40" s="119">
        <v>5.8</v>
      </c>
      <c r="N40" s="353" t="s">
        <v>28</v>
      </c>
      <c r="O40" s="118">
        <v>200</v>
      </c>
      <c r="P40" s="353" t="s">
        <v>29</v>
      </c>
      <c r="Q40" s="120">
        <f>M40/O40</f>
        <v>2.8999999999999998E-2</v>
      </c>
    </row>
    <row r="41" spans="2:17" ht="15" customHeight="1" x14ac:dyDescent="0.55000000000000004">
      <c r="C41" s="355"/>
      <c r="D41" s="356"/>
      <c r="E41" s="298"/>
      <c r="F41" s="314"/>
      <c r="H41" s="315"/>
      <c r="J41" s="316"/>
      <c r="K41" s="354"/>
      <c r="L41" s="354"/>
    </row>
    <row r="42" spans="2:17" ht="15" customHeight="1" x14ac:dyDescent="0.55000000000000004">
      <c r="C42" s="297" t="s">
        <v>36</v>
      </c>
      <c r="F42" s="314"/>
      <c r="H42" s="316"/>
      <c r="J42" s="316"/>
    </row>
    <row r="43" spans="2:17" ht="15" customHeight="1" x14ac:dyDescent="0.55000000000000004">
      <c r="C43" s="297"/>
      <c r="F43" s="314"/>
      <c r="H43" s="315"/>
      <c r="J43" s="316"/>
    </row>
    <row r="44" spans="2:17" ht="15" customHeight="1" x14ac:dyDescent="0.55000000000000004">
      <c r="C44" s="318" t="s">
        <v>301</v>
      </c>
      <c r="F44" s="314"/>
      <c r="H44" s="315"/>
      <c r="J44" s="316"/>
    </row>
    <row r="45" spans="2:17" ht="15" customHeight="1" x14ac:dyDescent="0.55000000000000004">
      <c r="C45" s="318"/>
      <c r="F45" s="314"/>
      <c r="H45" s="315"/>
      <c r="J45" s="316"/>
    </row>
    <row r="46" spans="2:17" ht="30" customHeight="1" x14ac:dyDescent="0.55000000000000004">
      <c r="C46" s="386" t="s">
        <v>343</v>
      </c>
      <c r="D46" s="386"/>
      <c r="E46" s="298"/>
      <c r="F46" s="377"/>
      <c r="G46" s="340"/>
      <c r="H46" s="357" t="s">
        <v>302</v>
      </c>
      <c r="I46" s="358"/>
      <c r="J46" s="359" t="s">
        <v>302</v>
      </c>
      <c r="M46" s="339" t="s">
        <v>355</v>
      </c>
    </row>
    <row r="47" spans="2:17" ht="15" customHeight="1" x14ac:dyDescent="0.55000000000000004">
      <c r="C47" s="360"/>
      <c r="D47" s="360"/>
      <c r="E47" s="298"/>
      <c r="F47" s="314"/>
      <c r="H47" s="319"/>
      <c r="J47" s="320"/>
    </row>
    <row r="48" spans="2:17" ht="23.5" x14ac:dyDescent="0.55000000000000004">
      <c r="B48" s="317" t="s">
        <v>37</v>
      </c>
      <c r="C48" s="297"/>
      <c r="D48" s="298"/>
      <c r="F48" s="314"/>
      <c r="H48" s="315"/>
      <c r="J48" s="316"/>
    </row>
    <row r="49" spans="2:13" ht="15" customHeight="1" x14ac:dyDescent="0.55000000000000004">
      <c r="D49" s="298"/>
      <c r="E49" s="298"/>
      <c r="F49" s="314"/>
      <c r="G49" s="298"/>
      <c r="H49" s="319"/>
      <c r="I49" s="298"/>
      <c r="J49" s="320"/>
      <c r="K49" s="298"/>
      <c r="L49" s="298"/>
    </row>
    <row r="50" spans="2:13" ht="15" customHeight="1" thickBot="1" x14ac:dyDescent="0.6">
      <c r="C50" s="318" t="s">
        <v>38</v>
      </c>
      <c r="D50" s="298"/>
      <c r="E50" s="298"/>
      <c r="F50" s="314"/>
      <c r="G50" s="298"/>
      <c r="H50" s="319"/>
      <c r="I50" s="298"/>
      <c r="J50" s="320"/>
      <c r="K50" s="298"/>
      <c r="L50" s="298"/>
    </row>
    <row r="51" spans="2:13" ht="15" customHeight="1" x14ac:dyDescent="0.55000000000000004">
      <c r="D51" s="298"/>
      <c r="E51" s="321"/>
      <c r="F51" s="322"/>
      <c r="G51" s="321"/>
      <c r="H51" s="324"/>
      <c r="I51" s="321"/>
      <c r="J51" s="325"/>
      <c r="K51" s="321"/>
      <c r="L51" s="326"/>
    </row>
    <row r="52" spans="2:13" ht="15" customHeight="1" x14ac:dyDescent="0.55000000000000004">
      <c r="D52" s="327" t="s">
        <v>284</v>
      </c>
      <c r="E52" s="298"/>
      <c r="F52" s="89">
        <v>75547</v>
      </c>
      <c r="H52" s="378"/>
      <c r="J52" s="328">
        <f t="shared" ref="J52:J54" si="1">IF(H52="",F52,H52)</f>
        <v>75547</v>
      </c>
      <c r="L52" s="329"/>
      <c r="M52" s="388" t="s">
        <v>357</v>
      </c>
    </row>
    <row r="53" spans="2:13" ht="15" customHeight="1" x14ac:dyDescent="0.55000000000000004">
      <c r="D53" s="327" t="s">
        <v>285</v>
      </c>
      <c r="E53" s="298"/>
      <c r="F53" s="89">
        <v>77408</v>
      </c>
      <c r="H53" s="378"/>
      <c r="J53" s="328">
        <f t="shared" si="1"/>
        <v>77408</v>
      </c>
      <c r="L53" s="329"/>
      <c r="M53" s="388"/>
    </row>
    <row r="54" spans="2:13" ht="15" customHeight="1" x14ac:dyDescent="0.55000000000000004">
      <c r="D54" s="327" t="s">
        <v>286</v>
      </c>
      <c r="E54" s="298"/>
      <c r="F54" s="89">
        <v>75859</v>
      </c>
      <c r="H54" s="378"/>
      <c r="J54" s="328">
        <f t="shared" si="1"/>
        <v>75859</v>
      </c>
      <c r="L54" s="329"/>
      <c r="M54" s="388"/>
    </row>
    <row r="55" spans="2:13" ht="15" customHeight="1" x14ac:dyDescent="0.55000000000000004">
      <c r="D55" s="298"/>
      <c r="E55" s="298"/>
      <c r="F55" s="314"/>
      <c r="H55" s="361"/>
      <c r="J55" s="320"/>
      <c r="L55" s="329"/>
      <c r="M55" s="388"/>
    </row>
    <row r="56" spans="2:13" ht="23.5" x14ac:dyDescent="0.55000000000000004">
      <c r="B56" s="317" t="s">
        <v>282</v>
      </c>
      <c r="C56" s="297"/>
      <c r="D56" s="298"/>
      <c r="F56" s="314"/>
      <c r="H56" s="362"/>
      <c r="J56" s="316"/>
      <c r="L56" s="329"/>
      <c r="M56" s="388"/>
    </row>
    <row r="57" spans="2:13" ht="15" customHeight="1" x14ac:dyDescent="0.55000000000000004">
      <c r="D57" s="298"/>
      <c r="E57" s="298"/>
      <c r="F57" s="314"/>
      <c r="G57" s="298"/>
      <c r="H57" s="361"/>
      <c r="I57" s="298"/>
      <c r="J57" s="320"/>
      <c r="L57" s="329"/>
      <c r="M57" s="388"/>
    </row>
    <row r="58" spans="2:13" ht="15" customHeight="1" x14ac:dyDescent="0.55000000000000004">
      <c r="C58" s="318" t="s">
        <v>283</v>
      </c>
      <c r="D58" s="298"/>
      <c r="E58" s="298"/>
      <c r="F58" s="314"/>
      <c r="G58" s="298"/>
      <c r="H58" s="361"/>
      <c r="I58" s="298"/>
      <c r="J58" s="320"/>
      <c r="L58" s="329"/>
      <c r="M58" s="388"/>
    </row>
    <row r="59" spans="2:13" ht="15" customHeight="1" x14ac:dyDescent="0.55000000000000004">
      <c r="D59" s="298"/>
      <c r="E59" s="298"/>
      <c r="F59" s="314"/>
      <c r="G59" s="298"/>
      <c r="H59" s="361"/>
      <c r="I59" s="298"/>
      <c r="J59" s="320"/>
      <c r="L59" s="329"/>
      <c r="M59" s="388"/>
    </row>
    <row r="60" spans="2:13" ht="15" customHeight="1" x14ac:dyDescent="0.55000000000000004">
      <c r="D60" s="327" t="s">
        <v>287</v>
      </c>
      <c r="E60" s="298"/>
      <c r="F60" s="89">
        <v>166997</v>
      </c>
      <c r="H60" s="378"/>
      <c r="J60" s="328">
        <f>IF(H60="",F60,H60)</f>
        <v>166997</v>
      </c>
      <c r="L60" s="329"/>
      <c r="M60" s="388"/>
    </row>
    <row r="61" spans="2:13" ht="15" customHeight="1" thickBot="1" x14ac:dyDescent="0.6">
      <c r="D61" s="298"/>
      <c r="E61" s="331"/>
      <c r="F61" s="332"/>
      <c r="G61" s="333"/>
      <c r="H61" s="363"/>
      <c r="I61" s="333"/>
      <c r="J61" s="364"/>
      <c r="K61" s="333"/>
      <c r="L61" s="336"/>
    </row>
    <row r="62" spans="2:13" ht="23.5" x14ac:dyDescent="0.55000000000000004">
      <c r="B62" s="317" t="s">
        <v>39</v>
      </c>
      <c r="C62" s="297"/>
      <c r="D62" s="298"/>
      <c r="F62" s="314"/>
      <c r="H62" s="365"/>
      <c r="J62" s="316"/>
    </row>
    <row r="63" spans="2:13" ht="15" customHeight="1" x14ac:dyDescent="0.55000000000000004">
      <c r="C63" s="297"/>
      <c r="D63" s="298"/>
      <c r="F63" s="314"/>
      <c r="H63" s="362"/>
      <c r="J63" s="316"/>
    </row>
    <row r="64" spans="2:13" ht="15" customHeight="1" x14ac:dyDescent="0.55000000000000004">
      <c r="C64" s="318" t="s">
        <v>277</v>
      </c>
      <c r="D64" s="298"/>
      <c r="F64" s="314"/>
      <c r="H64" s="379"/>
      <c r="J64" s="366">
        <f>H64</f>
        <v>0</v>
      </c>
      <c r="M64" s="298" t="s">
        <v>354</v>
      </c>
    </row>
    <row r="65" spans="3:13" ht="15" customHeight="1" x14ac:dyDescent="0.55000000000000004">
      <c r="C65" s="297"/>
      <c r="D65" s="298"/>
      <c r="F65" s="314"/>
      <c r="H65" s="315"/>
      <c r="J65" s="316"/>
    </row>
    <row r="66" spans="3:13" ht="15" customHeight="1" thickBot="1" x14ac:dyDescent="0.6">
      <c r="C66" s="318" t="s">
        <v>40</v>
      </c>
      <c r="D66" s="298"/>
      <c r="F66" s="314"/>
      <c r="H66" s="315"/>
      <c r="J66" s="316"/>
    </row>
    <row r="67" spans="3:13" ht="15" customHeight="1" x14ac:dyDescent="0.55000000000000004">
      <c r="C67" s="297"/>
      <c r="D67" s="298"/>
      <c r="E67" s="367"/>
      <c r="F67" s="322"/>
      <c r="G67" s="323"/>
      <c r="H67" s="368"/>
      <c r="I67" s="323"/>
      <c r="J67" s="369"/>
      <c r="K67" s="323"/>
      <c r="L67" s="326"/>
    </row>
    <row r="68" spans="3:13" ht="15" customHeight="1" x14ac:dyDescent="0.55000000000000004">
      <c r="D68" s="327" t="s">
        <v>41</v>
      </c>
      <c r="F68" s="90">
        <v>126.38</v>
      </c>
      <c r="H68" s="370">
        <f>F68*(1+$H$64)</f>
        <v>126.38</v>
      </c>
      <c r="J68" s="138">
        <f>ROUND(H68,2)</f>
        <v>126.38</v>
      </c>
      <c r="L68" s="329"/>
      <c r="M68" s="387" t="s">
        <v>356</v>
      </c>
    </row>
    <row r="69" spans="3:13" ht="15" customHeight="1" x14ac:dyDescent="0.55000000000000004">
      <c r="D69" s="327"/>
      <c r="F69" s="314"/>
      <c r="H69" s="371"/>
      <c r="J69" s="316"/>
      <c r="L69" s="329"/>
      <c r="M69" s="387"/>
    </row>
    <row r="70" spans="3:13" ht="15" customHeight="1" x14ac:dyDescent="0.55000000000000004">
      <c r="D70" s="327" t="s">
        <v>262</v>
      </c>
      <c r="F70" s="125">
        <f>F68*0.5</f>
        <v>63.19</v>
      </c>
      <c r="H70" s="370">
        <f t="shared" ref="H70:H94" si="2">F70*(1+$H$64)</f>
        <v>63.19</v>
      </c>
      <c r="J70" s="138">
        <f>H70</f>
        <v>63.19</v>
      </c>
      <c r="L70" s="329"/>
      <c r="M70" s="387"/>
    </row>
    <row r="71" spans="3:13" ht="15" customHeight="1" x14ac:dyDescent="0.55000000000000004">
      <c r="D71" s="298"/>
      <c r="F71" s="314"/>
      <c r="G71" s="298"/>
      <c r="H71" s="371"/>
      <c r="I71" s="298"/>
      <c r="J71" s="320"/>
      <c r="L71" s="329"/>
      <c r="M71" s="387"/>
    </row>
    <row r="72" spans="3:13" ht="15" customHeight="1" x14ac:dyDescent="0.55000000000000004">
      <c r="D72" s="327" t="s">
        <v>42</v>
      </c>
      <c r="F72" s="90">
        <v>71.265715141699999</v>
      </c>
      <c r="H72" s="370">
        <f t="shared" si="2"/>
        <v>71.265715141699999</v>
      </c>
      <c r="J72" s="138">
        <f>H72</f>
        <v>71.265715141699999</v>
      </c>
      <c r="L72" s="329"/>
      <c r="M72" s="387"/>
    </row>
    <row r="73" spans="3:13" ht="15" customHeight="1" x14ac:dyDescent="0.55000000000000004">
      <c r="D73" s="327"/>
      <c r="F73" s="314"/>
      <c r="G73" s="298"/>
      <c r="H73" s="371"/>
      <c r="I73" s="298"/>
      <c r="J73" s="320"/>
      <c r="L73" s="329"/>
      <c r="M73" s="387"/>
    </row>
    <row r="74" spans="3:13" ht="15" customHeight="1" x14ac:dyDescent="0.55000000000000004">
      <c r="D74" s="327" t="s">
        <v>43</v>
      </c>
      <c r="F74" s="90">
        <v>69.487248100000002</v>
      </c>
      <c r="H74" s="370">
        <f t="shared" si="2"/>
        <v>69.487248100000002</v>
      </c>
      <c r="J74" s="138">
        <f>H74</f>
        <v>69.487248100000002</v>
      </c>
      <c r="L74" s="329"/>
      <c r="M74" s="387"/>
    </row>
    <row r="75" spans="3:13" ht="15" customHeight="1" x14ac:dyDescent="0.55000000000000004">
      <c r="D75" s="327"/>
      <c r="F75" s="314"/>
      <c r="G75" s="298"/>
      <c r="H75" s="371"/>
      <c r="I75" s="298"/>
      <c r="J75" s="320"/>
      <c r="L75" s="329"/>
      <c r="M75" s="387"/>
    </row>
    <row r="76" spans="3:13" ht="15" customHeight="1" x14ac:dyDescent="0.55000000000000004">
      <c r="D76" s="327" t="s">
        <v>44</v>
      </c>
      <c r="F76" s="90">
        <v>61.54766308</v>
      </c>
      <c r="H76" s="370">
        <f t="shared" si="2"/>
        <v>61.54766308</v>
      </c>
      <c r="J76" s="138">
        <f>H76</f>
        <v>61.54766308</v>
      </c>
      <c r="L76" s="329"/>
      <c r="M76" s="387"/>
    </row>
    <row r="77" spans="3:13" ht="15" customHeight="1" x14ac:dyDescent="0.55000000000000004">
      <c r="D77" s="298"/>
      <c r="E77" s="298"/>
      <c r="F77" s="314"/>
      <c r="G77" s="298"/>
      <c r="H77" s="371"/>
      <c r="I77" s="298"/>
      <c r="J77" s="320"/>
      <c r="K77" s="298"/>
      <c r="L77" s="329"/>
      <c r="M77" s="387"/>
    </row>
    <row r="78" spans="3:13" ht="15" customHeight="1" x14ac:dyDescent="0.55000000000000004">
      <c r="D78" s="327" t="s">
        <v>45</v>
      </c>
      <c r="F78" s="90">
        <v>55.14</v>
      </c>
      <c r="H78" s="370">
        <f t="shared" si="2"/>
        <v>55.14</v>
      </c>
      <c r="J78" s="138">
        <f>ROUND(H78,2)</f>
        <v>55.14</v>
      </c>
      <c r="L78" s="329"/>
      <c r="M78" s="387"/>
    </row>
    <row r="79" spans="3:13" ht="15" customHeight="1" x14ac:dyDescent="0.55000000000000004">
      <c r="D79" s="298"/>
      <c r="E79" s="298"/>
      <c r="F79" s="314"/>
      <c r="G79" s="298"/>
      <c r="H79" s="371"/>
      <c r="I79" s="298"/>
      <c r="J79" s="320"/>
      <c r="K79" s="298"/>
      <c r="L79" s="329"/>
      <c r="M79" s="387"/>
    </row>
    <row r="80" spans="3:13" ht="15" customHeight="1" x14ac:dyDescent="0.55000000000000004">
      <c r="C80" s="318" t="s">
        <v>46</v>
      </c>
      <c r="F80" s="314"/>
      <c r="H80" s="371"/>
      <c r="J80" s="320"/>
      <c r="L80" s="329"/>
      <c r="M80" s="387"/>
    </row>
    <row r="81" spans="3:13" ht="15" customHeight="1" x14ac:dyDescent="0.55000000000000004">
      <c r="F81" s="314"/>
      <c r="H81" s="371"/>
      <c r="J81" s="320"/>
      <c r="L81" s="329"/>
      <c r="M81" s="387"/>
    </row>
    <row r="82" spans="3:13" ht="15" customHeight="1" x14ac:dyDescent="0.55000000000000004">
      <c r="C82" s="383" t="s">
        <v>47</v>
      </c>
      <c r="D82" s="383"/>
      <c r="F82" s="91">
        <v>3384338</v>
      </c>
      <c r="H82" s="370">
        <f t="shared" si="2"/>
        <v>3384338</v>
      </c>
      <c r="J82" s="138">
        <f>ROUND(H82,2)</f>
        <v>3384338</v>
      </c>
      <c r="L82" s="329"/>
      <c r="M82" s="387"/>
    </row>
    <row r="83" spans="3:13" ht="15" customHeight="1" x14ac:dyDescent="0.55000000000000004">
      <c r="C83" s="355"/>
      <c r="D83" s="372" t="s">
        <v>48</v>
      </c>
      <c r="F83" s="314"/>
      <c r="H83" s="371"/>
      <c r="J83" s="320"/>
      <c r="L83" s="329"/>
      <c r="M83" s="387"/>
    </row>
    <row r="84" spans="3:13" ht="15" customHeight="1" x14ac:dyDescent="0.55000000000000004">
      <c r="F84" s="314"/>
      <c r="H84" s="371"/>
      <c r="J84" s="320"/>
      <c r="L84" s="329"/>
      <c r="M84" s="387"/>
    </row>
    <row r="85" spans="3:13" ht="15" customHeight="1" x14ac:dyDescent="0.55000000000000004">
      <c r="C85" s="318" t="s">
        <v>49</v>
      </c>
      <c r="F85" s="314"/>
      <c r="H85" s="371"/>
      <c r="J85" s="320"/>
      <c r="L85" s="329"/>
      <c r="M85" s="387"/>
    </row>
    <row r="86" spans="3:13" ht="15" customHeight="1" x14ac:dyDescent="0.55000000000000004">
      <c r="F86" s="314"/>
      <c r="H86" s="371"/>
      <c r="J86" s="320"/>
      <c r="L86" s="329"/>
      <c r="M86" s="387"/>
    </row>
    <row r="87" spans="3:13" ht="15" customHeight="1" x14ac:dyDescent="0.55000000000000004">
      <c r="C87" s="383" t="s">
        <v>50</v>
      </c>
      <c r="D87" s="383"/>
      <c r="F87" s="91">
        <v>33908</v>
      </c>
      <c r="H87" s="370">
        <f t="shared" si="2"/>
        <v>33908</v>
      </c>
      <c r="J87" s="138">
        <f>ROUND(H87,2)</f>
        <v>33908</v>
      </c>
      <c r="L87" s="329"/>
      <c r="M87" s="387"/>
    </row>
    <row r="88" spans="3:13" ht="15" customHeight="1" x14ac:dyDescent="0.55000000000000004">
      <c r="C88" s="355"/>
      <c r="D88" s="372" t="s">
        <v>48</v>
      </c>
      <c r="F88" s="314"/>
      <c r="H88" s="371"/>
      <c r="J88" s="320"/>
      <c r="L88" s="329"/>
      <c r="M88" s="387"/>
    </row>
    <row r="89" spans="3:13" ht="15" customHeight="1" x14ac:dyDescent="0.55000000000000004">
      <c r="F89" s="314"/>
      <c r="H89" s="371"/>
      <c r="J89" s="320"/>
      <c r="L89" s="329"/>
      <c r="M89" s="387"/>
    </row>
    <row r="90" spans="3:13" ht="15" customHeight="1" x14ac:dyDescent="0.55000000000000004">
      <c r="C90" s="318" t="s">
        <v>290</v>
      </c>
      <c r="F90" s="314"/>
      <c r="H90" s="371"/>
      <c r="J90" s="320"/>
      <c r="L90" s="329"/>
      <c r="M90" s="387"/>
    </row>
    <row r="91" spans="3:13" ht="15" customHeight="1" x14ac:dyDescent="0.55000000000000004">
      <c r="F91" s="314"/>
      <c r="H91" s="371"/>
      <c r="J91" s="320"/>
      <c r="L91" s="329"/>
      <c r="M91" s="387"/>
    </row>
    <row r="92" spans="3:13" ht="15" customHeight="1" x14ac:dyDescent="0.55000000000000004">
      <c r="D92" s="373" t="s">
        <v>291</v>
      </c>
      <c r="F92" s="91">
        <v>1800000</v>
      </c>
      <c r="H92" s="370">
        <f>F92*(1+$H$64)</f>
        <v>1800000</v>
      </c>
      <c r="J92" s="138">
        <f>ROUND(H92,2)</f>
        <v>1800000</v>
      </c>
      <c r="L92" s="329"/>
      <c r="M92" s="387"/>
    </row>
    <row r="93" spans="3:13" ht="15" customHeight="1" x14ac:dyDescent="0.55000000000000004">
      <c r="F93" s="314"/>
      <c r="H93" s="371"/>
      <c r="J93" s="320"/>
      <c r="L93" s="329"/>
      <c r="M93" s="387"/>
    </row>
    <row r="94" spans="3:13" ht="15" customHeight="1" x14ac:dyDescent="0.55000000000000004">
      <c r="D94" s="373" t="s">
        <v>291</v>
      </c>
      <c r="F94" s="155">
        <f>2919391.73</f>
        <v>2919391.73</v>
      </c>
      <c r="H94" s="370">
        <f t="shared" si="2"/>
        <v>2919391.73</v>
      </c>
      <c r="J94" s="138">
        <f>ROUND(H94,2)</f>
        <v>2919391.73</v>
      </c>
      <c r="L94" s="329"/>
      <c r="M94" s="387"/>
    </row>
    <row r="95" spans="3:13" ht="15" customHeight="1" thickBot="1" x14ac:dyDescent="0.6">
      <c r="E95" s="374"/>
      <c r="F95" s="332"/>
      <c r="G95" s="333"/>
      <c r="H95" s="375"/>
      <c r="I95" s="333"/>
      <c r="J95" s="364"/>
      <c r="K95" s="333"/>
      <c r="L95" s="336"/>
    </row>
    <row r="96" spans="3:13" ht="15" customHeight="1" x14ac:dyDescent="0.55000000000000004">
      <c r="F96" s="314"/>
      <c r="H96" s="319"/>
      <c r="J96" s="320"/>
    </row>
  </sheetData>
  <sheetProtection sheet="1" objects="1" scenarios="1"/>
  <mergeCells count="24">
    <mergeCell ref="J2:J4"/>
    <mergeCell ref="J8:M8"/>
    <mergeCell ref="M38:M39"/>
    <mergeCell ref="N38:N39"/>
    <mergeCell ref="O38:O39"/>
    <mergeCell ref="C28:J30"/>
    <mergeCell ref="D3:E3"/>
    <mergeCell ref="D4:E4"/>
    <mergeCell ref="D5:E5"/>
    <mergeCell ref="C32:D32"/>
    <mergeCell ref="M29:O30"/>
    <mergeCell ref="C24:D24"/>
    <mergeCell ref="M14:M20"/>
    <mergeCell ref="M24:Q24"/>
    <mergeCell ref="Q29:Q31"/>
    <mergeCell ref="P38:P39"/>
    <mergeCell ref="Q38:Q39"/>
    <mergeCell ref="C40:D40"/>
    <mergeCell ref="C87:D87"/>
    <mergeCell ref="C36:J38"/>
    <mergeCell ref="C82:D82"/>
    <mergeCell ref="C46:D46"/>
    <mergeCell ref="M68:M94"/>
    <mergeCell ref="M52:M60"/>
  </mergeCells>
  <phoneticPr fontId="41" type="noConversion"/>
  <pageMargins left="0.7" right="0.7" top="0.75" bottom="0.75" header="0.3" footer="0.3"/>
  <pageSetup paperSize="8" scale="75" fitToHeight="0" orientation="landscape"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lists!$A$2:$A$83</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C00000"/>
    <pageSetUpPr fitToPage="1"/>
  </sheetPr>
  <dimension ref="A1:H29"/>
  <sheetViews>
    <sheetView zoomScaleNormal="100" zoomScalePageLayoutView="50" workbookViewId="0"/>
  </sheetViews>
  <sheetFormatPr defaultRowHeight="15" customHeight="1" x14ac:dyDescent="0.55000000000000004"/>
  <cols>
    <col min="1" max="1" width="4.7265625" style="40" customWidth="1"/>
    <col min="2" max="2" width="33" style="46" customWidth="1"/>
    <col min="3" max="3" width="75.54296875" customWidth="1"/>
    <col min="4" max="4" width="15.54296875" customWidth="1"/>
    <col min="5" max="5" width="17.81640625" bestFit="1" customWidth="1"/>
    <col min="6" max="6" width="15.54296875" customWidth="1"/>
    <col min="7" max="7" width="18" customWidth="1"/>
    <col min="8" max="8" width="18" style="4" customWidth="1"/>
  </cols>
  <sheetData>
    <row r="1" spans="1:8" ht="23.5" x14ac:dyDescent="0.55000000000000004">
      <c r="A1" s="39" t="s">
        <v>51</v>
      </c>
      <c r="C1" s="4"/>
      <c r="D1" s="141"/>
      <c r="E1" s="141"/>
      <c r="F1" s="141"/>
    </row>
    <row r="2" spans="1:8" ht="15" customHeight="1" x14ac:dyDescent="0.55000000000000004">
      <c r="D2" s="141"/>
      <c r="E2" s="141"/>
      <c r="F2" s="141"/>
    </row>
    <row r="3" spans="1:8" ht="23.5" x14ac:dyDescent="0.55000000000000004">
      <c r="B3" s="431">
        <f>Inputs!D3</f>
        <v>0</v>
      </c>
      <c r="C3" s="432"/>
      <c r="D3" s="176"/>
      <c r="E3" s="141"/>
      <c r="F3" s="141"/>
    </row>
    <row r="4" spans="1:8" ht="12.75" customHeight="1" x14ac:dyDescent="0.35">
      <c r="A4"/>
      <c r="D4" s="141"/>
      <c r="E4" s="141"/>
      <c r="F4" s="141"/>
    </row>
    <row r="5" spans="1:8" ht="14.5" x14ac:dyDescent="0.35">
      <c r="A5"/>
      <c r="B5" t="s">
        <v>318</v>
      </c>
      <c r="D5" s="141"/>
      <c r="E5" s="141"/>
      <c r="F5" s="141"/>
    </row>
    <row r="6" spans="1:8" ht="15" customHeight="1" x14ac:dyDescent="0.55000000000000004">
      <c r="B6" s="1" t="s">
        <v>52</v>
      </c>
      <c r="D6" s="141"/>
    </row>
    <row r="7" spans="1:8" ht="15" customHeight="1" thickBot="1" x14ac:dyDescent="0.6">
      <c r="H7" s="122"/>
    </row>
    <row r="8" spans="1:8" ht="16.5" customHeight="1" x14ac:dyDescent="0.55000000000000004">
      <c r="D8" s="425" t="s">
        <v>313</v>
      </c>
      <c r="E8" s="427" t="s">
        <v>314</v>
      </c>
      <c r="F8" s="429" t="s">
        <v>315</v>
      </c>
      <c r="G8" s="407" t="s">
        <v>140</v>
      </c>
      <c r="H8" s="408"/>
    </row>
    <row r="9" spans="1:8" ht="16.5" customHeight="1" thickBot="1" x14ac:dyDescent="0.6">
      <c r="D9" s="426"/>
      <c r="E9" s="428"/>
      <c r="F9" s="430"/>
      <c r="G9" s="173" t="s">
        <v>311</v>
      </c>
      <c r="H9" s="174" t="s">
        <v>312</v>
      </c>
    </row>
    <row r="10" spans="1:8" ht="21" customHeight="1" x14ac:dyDescent="0.55000000000000004">
      <c r="B10" s="433" t="s">
        <v>53</v>
      </c>
      <c r="C10" s="159" t="s">
        <v>54</v>
      </c>
      <c r="D10" s="294">
        <f>'UMCH - Matched'!N77</f>
        <v>63.19</v>
      </c>
      <c r="E10" s="177" t="s">
        <v>267</v>
      </c>
      <c r="F10" s="181" t="e">
        <f>'UMCH - Matched'!N72</f>
        <v>#N/A</v>
      </c>
      <c r="G10" s="172" t="e">
        <f>'UMCH - Matched'!$N$82</f>
        <v>#N/A</v>
      </c>
      <c r="H10" s="418"/>
    </row>
    <row r="11" spans="1:8" ht="21" customHeight="1" x14ac:dyDescent="0.55000000000000004">
      <c r="B11" s="434"/>
      <c r="C11" s="160" t="s">
        <v>55</v>
      </c>
      <c r="D11" s="182" t="e">
        <f>IF('UMCH - RSG'!G20="Yes",'UMCH - RSG'!I34,"")</f>
        <v>#N/A</v>
      </c>
      <c r="E11" s="178" t="e">
        <f>IF('UMCH - RSG'!G20="Yes","MCH Unit Price","")</f>
        <v>#N/A</v>
      </c>
      <c r="F11" s="181" t="e">
        <f>IF('UMCH - RSG'!G20="Yes",'UMCH - RSG'!I29,"")</f>
        <v>#N/A</v>
      </c>
      <c r="G11" s="123" t="e">
        <f>'UMCH - RSG'!$I$39</f>
        <v>#N/A</v>
      </c>
      <c r="H11" s="419"/>
    </row>
    <row r="12" spans="1:8" ht="21" customHeight="1" x14ac:dyDescent="0.55000000000000004">
      <c r="B12" s="434"/>
      <c r="C12" s="160" t="s">
        <v>56</v>
      </c>
      <c r="D12" s="182">
        <f>'UMCH - Family Violence'!O39</f>
        <v>126.38</v>
      </c>
      <c r="E12" s="178" t="s">
        <v>41</v>
      </c>
      <c r="F12" s="181" t="e">
        <f>'UMCH - Family Violence'!O34</f>
        <v>#N/A</v>
      </c>
      <c r="G12" s="123" t="e">
        <f>'UMCH - Family Violence'!$O$44</f>
        <v>#N/A</v>
      </c>
      <c r="H12" s="419"/>
    </row>
    <row r="13" spans="1:8" ht="21" customHeight="1" x14ac:dyDescent="0.55000000000000004">
      <c r="B13" s="434"/>
      <c r="C13" s="160" t="s">
        <v>250</v>
      </c>
      <c r="D13" s="182">
        <f>'UMCH - S&amp;S Info Sessions'!N39</f>
        <v>559.37</v>
      </c>
      <c r="E13" s="178" t="s">
        <v>316</v>
      </c>
      <c r="F13" s="181">
        <f>'UMCH - S&amp;S Info Sessions'!N34</f>
        <v>0</v>
      </c>
      <c r="G13" s="161">
        <f>'UMCH - S&amp;S Info Sessions'!$N$44</f>
        <v>0</v>
      </c>
      <c r="H13" s="419"/>
    </row>
    <row r="14" spans="1:8" ht="21" customHeight="1" x14ac:dyDescent="0.55000000000000004">
      <c r="B14" s="434"/>
      <c r="C14" s="160" t="s">
        <v>251</v>
      </c>
      <c r="D14" s="182">
        <f>'UMCH - S&amp;S Outreach'!M40</f>
        <v>126.38</v>
      </c>
      <c r="E14" s="178" t="s">
        <v>41</v>
      </c>
      <c r="F14" s="181" t="e">
        <f>'UMCH - S&amp;S Outreach'!M29</f>
        <v>#N/A</v>
      </c>
      <c r="G14" s="123" t="e">
        <f>'UMCH - S&amp;S Outreach'!M45</f>
        <v>#N/A</v>
      </c>
      <c r="H14" s="419"/>
    </row>
    <row r="15" spans="1:8" ht="21" customHeight="1" x14ac:dyDescent="0.55000000000000004">
      <c r="B15" s="434"/>
      <c r="C15" s="160" t="s">
        <v>253</v>
      </c>
      <c r="D15" s="183" t="e">
        <f>IF('UMCH - Interface'!$F$7="Yes","n/a","")</f>
        <v>#N/A</v>
      </c>
      <c r="E15" s="183" t="e">
        <f>IF('UMCH - Interface'!$F$7="Yes","n/a","")</f>
        <v>#N/A</v>
      </c>
      <c r="F15" s="183" t="e">
        <f>IF('UMCH - Interface'!$F$7="Yes","n/a","")</f>
        <v>#N/A</v>
      </c>
      <c r="G15" s="123" t="e">
        <f>'UMCH - Interface'!N29</f>
        <v>#N/A</v>
      </c>
      <c r="H15" s="420"/>
    </row>
    <row r="16" spans="1:8" ht="21" customHeight="1" thickBot="1" x14ac:dyDescent="0.6">
      <c r="B16" s="435"/>
      <c r="C16" s="409"/>
      <c r="D16" s="410"/>
      <c r="E16" s="410"/>
      <c r="F16" s="410"/>
      <c r="G16" s="411"/>
      <c r="H16" s="162" t="e">
        <f>SUM(G10:G15)</f>
        <v>#N/A</v>
      </c>
    </row>
    <row r="17" spans="2:8" ht="21" customHeight="1" x14ac:dyDescent="0.55000000000000004">
      <c r="B17" s="436" t="s">
        <v>57</v>
      </c>
      <c r="C17" s="163" t="s">
        <v>166</v>
      </c>
      <c r="D17" s="184">
        <f>'EMCH - Base'!N70</f>
        <v>126.38</v>
      </c>
      <c r="E17" s="179" t="s">
        <v>41</v>
      </c>
      <c r="F17" s="185" t="e">
        <f>'EMCH - Base'!N65</f>
        <v>#N/A</v>
      </c>
      <c r="G17" s="164" t="e">
        <f>'EMCH - Base'!N75</f>
        <v>#N/A</v>
      </c>
      <c r="H17" s="421"/>
    </row>
    <row r="18" spans="2:8" ht="21" customHeight="1" x14ac:dyDescent="0.55000000000000004">
      <c r="B18" s="437"/>
      <c r="C18" s="165" t="s">
        <v>252</v>
      </c>
      <c r="D18" s="186" t="e">
        <f>IF('EMCH - Interface'!$F$7="Yes",'EMCH - Interface'!L45,"")</f>
        <v>#N/A</v>
      </c>
      <c r="E18" s="187" t="e">
        <f>IF('EMCH - Interface'!$F$7="Yes","MCH Unit Price","")</f>
        <v>#N/A</v>
      </c>
      <c r="F18" s="188" t="e">
        <f>IF('EMCH - Interface'!$F$7="Yes",'EMCH - Interface'!L40,"")</f>
        <v>#N/A</v>
      </c>
      <c r="G18" s="166" t="e">
        <f>'EMCH - Interface'!L50</f>
        <v>#N/A</v>
      </c>
      <c r="H18" s="422"/>
    </row>
    <row r="19" spans="2:8" ht="21" customHeight="1" thickBot="1" x14ac:dyDescent="0.6">
      <c r="B19" s="438"/>
      <c r="C19" s="412"/>
      <c r="D19" s="413"/>
      <c r="E19" s="413"/>
      <c r="F19" s="413"/>
      <c r="G19" s="414"/>
      <c r="H19" s="170" t="e">
        <f>SUM(G17:G18)</f>
        <v>#N/A</v>
      </c>
    </row>
    <row r="20" spans="2:8" ht="21" customHeight="1" x14ac:dyDescent="0.55000000000000004">
      <c r="B20" s="423" t="s">
        <v>59</v>
      </c>
      <c r="C20" s="167" t="s">
        <v>60</v>
      </c>
      <c r="D20" s="189">
        <f>'Workforce Support'!J26</f>
        <v>661.68000000000006</v>
      </c>
      <c r="E20" s="180" t="s">
        <v>317</v>
      </c>
      <c r="F20" s="190">
        <f>'Workforce Support'!J21</f>
        <v>0</v>
      </c>
      <c r="G20" s="168">
        <f>'Workforce Support'!$J$31</f>
        <v>0</v>
      </c>
      <c r="H20" s="169"/>
    </row>
    <row r="21" spans="2:8" ht="21" customHeight="1" thickBot="1" x14ac:dyDescent="0.6">
      <c r="B21" s="424"/>
      <c r="C21" s="415"/>
      <c r="D21" s="416"/>
      <c r="E21" s="416"/>
      <c r="F21" s="416"/>
      <c r="G21" s="417"/>
      <c r="H21" s="171">
        <f>G20</f>
        <v>0</v>
      </c>
    </row>
    <row r="22" spans="2:8" ht="15" customHeight="1" thickBot="1" x14ac:dyDescent="0.6">
      <c r="C22" s="75"/>
      <c r="D22" s="75"/>
      <c r="E22" s="75"/>
      <c r="F22" s="75"/>
      <c r="G22" s="75"/>
      <c r="H22" s="122"/>
    </row>
    <row r="23" spans="2:8" ht="21" customHeight="1" thickBot="1" x14ac:dyDescent="0.6">
      <c r="H23" s="175" t="e">
        <f>SUM(H10:H21)</f>
        <v>#N/A</v>
      </c>
    </row>
    <row r="24" spans="2:8" ht="15" customHeight="1" x14ac:dyDescent="0.55000000000000004">
      <c r="H24" s="122"/>
    </row>
    <row r="25" spans="2:8" ht="15" customHeight="1" x14ac:dyDescent="0.55000000000000004">
      <c r="G25" s="115"/>
      <c r="H25" s="122"/>
    </row>
    <row r="26" spans="2:8" ht="15" customHeight="1" x14ac:dyDescent="0.55000000000000004">
      <c r="H26" s="122"/>
    </row>
    <row r="27" spans="2:8" ht="15" customHeight="1" x14ac:dyDescent="0.55000000000000004">
      <c r="H27" s="122"/>
    </row>
    <row r="28" spans="2:8" ht="15" customHeight="1" x14ac:dyDescent="0.55000000000000004">
      <c r="H28" s="122"/>
    </row>
    <row r="29" spans="2:8" ht="15" customHeight="1" x14ac:dyDescent="0.55000000000000004">
      <c r="H29" s="122"/>
    </row>
  </sheetData>
  <sheetProtection sheet="1" objects="1" scenarios="1"/>
  <mergeCells count="13">
    <mergeCell ref="B20:B21"/>
    <mergeCell ref="D8:D9"/>
    <mergeCell ref="E8:E9"/>
    <mergeCell ref="F8:F9"/>
    <mergeCell ref="B3:C3"/>
    <mergeCell ref="B10:B16"/>
    <mergeCell ref="B17:B19"/>
    <mergeCell ref="G8:H8"/>
    <mergeCell ref="C16:G16"/>
    <mergeCell ref="C19:G19"/>
    <mergeCell ref="C21:G21"/>
    <mergeCell ref="H10:H15"/>
    <mergeCell ref="H17:H18"/>
  </mergeCells>
  <pageMargins left="0.7" right="0.7" top="0.75" bottom="0.75" header="0.3" footer="0.3"/>
  <pageSetup paperSize="8" fitToHeight="0" orientation="landscape"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2:P84"/>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453125" style="1" customWidth="1"/>
    <col min="5" max="5" width="5.7265625" style="1" customWidth="1"/>
    <col min="6" max="6" width="26.54296875" customWidth="1"/>
    <col min="7" max="7" width="5.7265625" style="150" customWidth="1"/>
    <col min="8" max="8" width="23.26953125" customWidth="1"/>
    <col min="9" max="9" width="5.7265625" style="150" customWidth="1"/>
    <col min="10" max="10" width="23.26953125" customWidth="1"/>
    <col min="11" max="11" width="5.7265625" style="150" customWidth="1"/>
    <col min="12" max="12" width="23.26953125" customWidth="1"/>
    <col min="13" max="13" width="5.7265625" style="150" customWidth="1"/>
    <col min="14" max="14" width="20.26953125" customWidth="1"/>
    <col min="15" max="15" width="5.7265625" style="150" customWidth="1"/>
    <col min="16" max="16" width="18.1796875" customWidth="1"/>
  </cols>
  <sheetData>
    <row r="2" spans="1:16" ht="23.5" x14ac:dyDescent="0.55000000000000004">
      <c r="A2" s="440">
        <f>Inputs!$D$3</f>
        <v>0</v>
      </c>
      <c r="B2" s="441"/>
      <c r="C2" s="441"/>
      <c r="D2" s="441"/>
      <c r="E2" s="441"/>
      <c r="F2" s="441"/>
      <c r="G2" s="441"/>
      <c r="H2" s="442"/>
    </row>
    <row r="4" spans="1:16" s="16" customFormat="1" ht="23.5" x14ac:dyDescent="0.55000000000000004">
      <c r="A4" s="39" t="s">
        <v>61</v>
      </c>
      <c r="B4" s="47"/>
      <c r="D4" s="17"/>
      <c r="E4" s="17"/>
      <c r="I4" s="17"/>
      <c r="K4" s="17"/>
      <c r="M4" s="17"/>
      <c r="O4" s="17"/>
    </row>
    <row r="5" spans="1:16" s="16" customFormat="1" ht="23.5" x14ac:dyDescent="0.55000000000000004">
      <c r="A5" s="39"/>
      <c r="B5" s="47" t="s">
        <v>62</v>
      </c>
      <c r="D5" s="17"/>
      <c r="E5" s="17"/>
      <c r="F5" s="17"/>
      <c r="I5" s="17"/>
      <c r="K5" s="17"/>
      <c r="M5" s="17"/>
      <c r="O5" s="17"/>
    </row>
    <row r="6" spans="1:16" ht="15" customHeight="1" x14ac:dyDescent="0.55000000000000004">
      <c r="C6" s="13"/>
      <c r="D6" s="13"/>
      <c r="E6" s="13"/>
      <c r="F6" s="14"/>
      <c r="G6" s="15"/>
      <c r="H6" s="14"/>
      <c r="I6" s="15"/>
      <c r="J6" s="14"/>
      <c r="K6" s="15"/>
      <c r="L6" s="14"/>
      <c r="M6" s="17"/>
      <c r="N6" s="16"/>
      <c r="O6" s="17"/>
      <c r="P6" s="16"/>
    </row>
    <row r="7" spans="1:16" ht="15" customHeight="1" x14ac:dyDescent="0.55000000000000004">
      <c r="C7" s="446" t="s">
        <v>63</v>
      </c>
      <c r="M7" s="17"/>
      <c r="N7" s="16"/>
      <c r="O7" s="17"/>
      <c r="P7" s="16"/>
    </row>
    <row r="8" spans="1:16" ht="15" customHeight="1" x14ac:dyDescent="0.55000000000000004">
      <c r="C8" s="447"/>
      <c r="D8" s="449" t="s">
        <v>263</v>
      </c>
      <c r="E8" s="21"/>
      <c r="F8" s="21"/>
      <c r="G8" s="68"/>
      <c r="H8" s="71"/>
      <c r="I8" s="70"/>
      <c r="J8" s="71"/>
      <c r="M8" s="17"/>
      <c r="N8" s="16"/>
      <c r="O8" s="17"/>
      <c r="P8" s="16"/>
    </row>
    <row r="9" spans="1:16" ht="15" customHeight="1" thickBot="1" x14ac:dyDescent="0.6">
      <c r="C9" s="447"/>
      <c r="D9" s="450"/>
      <c r="E9" s="150"/>
      <c r="F9" s="1" t="s">
        <v>64</v>
      </c>
      <c r="H9" s="131" t="s">
        <v>74</v>
      </c>
      <c r="J9" t="s">
        <v>71</v>
      </c>
      <c r="L9" t="s">
        <v>319</v>
      </c>
      <c r="M9" s="17"/>
      <c r="N9" s="16"/>
      <c r="O9" s="17"/>
      <c r="P9" s="16"/>
    </row>
    <row r="10" spans="1:16" ht="15" customHeight="1" thickBot="1" x14ac:dyDescent="0.6">
      <c r="C10" s="447"/>
      <c r="D10" s="450"/>
      <c r="E10" s="150"/>
      <c r="F10" s="79">
        <f>Inputs!$J$16</f>
        <v>0</v>
      </c>
      <c r="G10" s="150" t="s">
        <v>30</v>
      </c>
      <c r="H10" s="19">
        <v>1</v>
      </c>
      <c r="I10" s="150" t="s">
        <v>30</v>
      </c>
      <c r="J10" s="81">
        <v>4.75</v>
      </c>
      <c r="K10" s="150" t="s">
        <v>29</v>
      </c>
      <c r="L10" s="81">
        <f>F10*H10*J10</f>
        <v>0</v>
      </c>
      <c r="M10" s="17"/>
      <c r="N10" s="16"/>
      <c r="O10" s="17"/>
      <c r="P10" s="16"/>
    </row>
    <row r="11" spans="1:16" ht="15" customHeight="1" x14ac:dyDescent="0.55000000000000004">
      <c r="C11" s="447"/>
      <c r="D11" s="450"/>
      <c r="E11" s="150"/>
    </row>
    <row r="12" spans="1:16" ht="15" customHeight="1" x14ac:dyDescent="0.55000000000000004">
      <c r="C12" s="447"/>
      <c r="D12" s="31"/>
      <c r="E12" s="13"/>
      <c r="F12" s="14"/>
      <c r="G12" s="15"/>
      <c r="H12" s="15"/>
      <c r="I12" s="15"/>
      <c r="J12" s="14"/>
      <c r="L12" s="150"/>
    </row>
    <row r="13" spans="1:16" ht="15" customHeight="1" x14ac:dyDescent="0.55000000000000004">
      <c r="C13" s="447"/>
      <c r="D13" s="32"/>
    </row>
    <row r="14" spans="1:16" ht="15" customHeight="1" thickBot="1" x14ac:dyDescent="0.6">
      <c r="C14" s="447"/>
      <c r="D14" s="449" t="s">
        <v>264</v>
      </c>
      <c r="E14" s="21"/>
      <c r="F14" s="8" t="s">
        <v>20</v>
      </c>
      <c r="H14" s="131" t="s">
        <v>74</v>
      </c>
      <c r="J14" t="s">
        <v>71</v>
      </c>
      <c r="L14" t="s">
        <v>319</v>
      </c>
    </row>
    <row r="15" spans="1:16" ht="15" customHeight="1" thickBot="1" x14ac:dyDescent="0.6">
      <c r="C15" s="447"/>
      <c r="D15" s="450"/>
      <c r="E15" s="21"/>
      <c r="F15" s="79">
        <f>Inputs!$J$17</f>
        <v>0</v>
      </c>
      <c r="G15" s="150" t="s">
        <v>30</v>
      </c>
      <c r="H15" s="19">
        <v>1</v>
      </c>
      <c r="I15" s="150" t="s">
        <v>30</v>
      </c>
      <c r="J15" s="81">
        <v>1.25</v>
      </c>
      <c r="K15" s="150" t="s">
        <v>29</v>
      </c>
      <c r="L15" s="81">
        <f>F15*H15*J15</f>
        <v>0</v>
      </c>
    </row>
    <row r="16" spans="1:16" ht="15" customHeight="1" x14ac:dyDescent="0.55000000000000004">
      <c r="C16" s="447"/>
      <c r="D16" s="450"/>
      <c r="E16" s="21"/>
      <c r="F16" s="7" t="s">
        <v>266</v>
      </c>
    </row>
    <row r="17" spans="3:14" ht="15" customHeight="1" x14ac:dyDescent="0.55000000000000004">
      <c r="C17" s="447"/>
      <c r="D17" s="31"/>
      <c r="E17" s="13"/>
      <c r="F17" s="14"/>
      <c r="G17" s="15"/>
      <c r="H17" s="15"/>
      <c r="I17" s="15"/>
      <c r="J17" s="14"/>
      <c r="L17" s="150"/>
    </row>
    <row r="18" spans="3:14" ht="15" customHeight="1" x14ac:dyDescent="0.55000000000000004">
      <c r="C18" s="447"/>
      <c r="D18" s="32"/>
    </row>
    <row r="19" spans="3:14" ht="15" customHeight="1" thickBot="1" x14ac:dyDescent="0.6">
      <c r="C19" s="447"/>
      <c r="D19" s="449" t="s">
        <v>265</v>
      </c>
      <c r="E19" s="150"/>
      <c r="F19" s="8" t="s">
        <v>21</v>
      </c>
      <c r="H19" s="131" t="s">
        <v>74</v>
      </c>
      <c r="J19" t="s">
        <v>71</v>
      </c>
      <c r="L19" t="s">
        <v>319</v>
      </c>
    </row>
    <row r="20" spans="3:14" ht="15" customHeight="1" thickBot="1" x14ac:dyDescent="0.6">
      <c r="C20" s="447"/>
      <c r="D20" s="450"/>
      <c r="E20" s="150"/>
      <c r="F20" s="79">
        <f>Inputs!$J$18</f>
        <v>0</v>
      </c>
      <c r="G20" s="150" t="s">
        <v>30</v>
      </c>
      <c r="H20" s="19">
        <v>1</v>
      </c>
      <c r="I20" s="150" t="s">
        <v>30</v>
      </c>
      <c r="J20" s="81">
        <v>0.75</v>
      </c>
      <c r="K20" s="150" t="s">
        <v>29</v>
      </c>
      <c r="L20" s="81">
        <f>F20*H20*J20</f>
        <v>0</v>
      </c>
    </row>
    <row r="21" spans="3:14" ht="15" customHeight="1" x14ac:dyDescent="0.55000000000000004">
      <c r="C21" s="447"/>
      <c r="D21" s="450"/>
      <c r="E21" s="150"/>
      <c r="F21" s="7" t="s">
        <v>266</v>
      </c>
    </row>
    <row r="22" spans="3:14" ht="15" customHeight="1" x14ac:dyDescent="0.55000000000000004">
      <c r="C22" s="447"/>
      <c r="D22" s="31"/>
      <c r="E22" s="13"/>
      <c r="F22" s="14"/>
      <c r="G22" s="15"/>
      <c r="H22" s="14"/>
      <c r="I22" s="14"/>
      <c r="J22" s="14"/>
    </row>
    <row r="23" spans="3:14" ht="15" customHeight="1" x14ac:dyDescent="0.55000000000000004">
      <c r="C23" s="447"/>
      <c r="D23" s="126"/>
      <c r="E23" s="127"/>
      <c r="F23" s="128"/>
      <c r="G23" s="129"/>
      <c r="H23" s="128"/>
      <c r="I23" s="128"/>
      <c r="J23" s="128"/>
    </row>
    <row r="24" spans="3:14" ht="15" customHeight="1" x14ac:dyDescent="0.55000000000000004">
      <c r="C24" s="447"/>
      <c r="D24" s="449" t="s">
        <v>320</v>
      </c>
      <c r="E24" s="21"/>
      <c r="F24" s="150"/>
      <c r="G24"/>
      <c r="N24" s="149" t="s">
        <v>322</v>
      </c>
    </row>
    <row r="25" spans="3:14" ht="15" customHeight="1" x14ac:dyDescent="0.55000000000000004">
      <c r="C25" s="447"/>
      <c r="D25" s="450"/>
      <c r="E25" s="21"/>
      <c r="F25" s="150"/>
      <c r="G25"/>
      <c r="M25" s="150" t="s">
        <v>29</v>
      </c>
      <c r="N25" s="81">
        <f>L10+L15+L20</f>
        <v>0</v>
      </c>
    </row>
    <row r="26" spans="3:14" ht="15" customHeight="1" x14ac:dyDescent="0.55000000000000004">
      <c r="C26" s="448"/>
      <c r="D26" s="34"/>
      <c r="E26" s="13"/>
      <c r="F26" s="14"/>
      <c r="G26" s="15"/>
      <c r="H26" s="14"/>
      <c r="I26" s="15"/>
      <c r="J26" s="14"/>
      <c r="K26" s="15"/>
      <c r="L26" s="15"/>
    </row>
    <row r="27" spans="3:14" ht="15" customHeight="1" x14ac:dyDescent="0.55000000000000004">
      <c r="C27" s="452" t="s">
        <v>72</v>
      </c>
      <c r="D27" s="32"/>
    </row>
    <row r="28" spans="3:14" ht="15" customHeight="1" thickBot="1" x14ac:dyDescent="0.6">
      <c r="C28" s="452"/>
      <c r="D28" s="451" t="s">
        <v>73</v>
      </c>
      <c r="E28" s="121"/>
      <c r="F28" s="131" t="s">
        <v>64</v>
      </c>
      <c r="H28" s="131" t="s">
        <v>74</v>
      </c>
      <c r="J28" s="131" t="s">
        <v>71</v>
      </c>
      <c r="L28" t="s">
        <v>319</v>
      </c>
    </row>
    <row r="29" spans="3:14" ht="15" customHeight="1" thickBot="1" x14ac:dyDescent="0.6">
      <c r="C29" s="452"/>
      <c r="D29" s="451"/>
      <c r="E29" s="121"/>
      <c r="F29" s="79">
        <f>Inputs!$J$16</f>
        <v>0</v>
      </c>
      <c r="G29" s="150" t="s">
        <v>30</v>
      </c>
      <c r="H29" s="19">
        <v>0.4</v>
      </c>
      <c r="I29" s="150" t="s">
        <v>30</v>
      </c>
      <c r="J29" s="81">
        <v>3</v>
      </c>
      <c r="K29" s="150" t="s">
        <v>29</v>
      </c>
      <c r="L29" s="81">
        <f>F29*H29*J29</f>
        <v>0</v>
      </c>
    </row>
    <row r="30" spans="3:14" ht="15" customHeight="1" x14ac:dyDescent="0.55000000000000004">
      <c r="C30" s="452"/>
      <c r="D30" s="451"/>
      <c r="E30" s="121"/>
      <c r="F30" s="150"/>
      <c r="H30" s="150"/>
      <c r="J30" s="150"/>
      <c r="L30" s="150"/>
    </row>
    <row r="31" spans="3:14" ht="15" customHeight="1" x14ac:dyDescent="0.55000000000000004">
      <c r="C31" s="452"/>
      <c r="D31" s="13"/>
      <c r="E31" s="13"/>
      <c r="F31" s="14"/>
      <c r="G31" s="15"/>
      <c r="H31" s="14"/>
      <c r="I31" s="15"/>
      <c r="J31" s="14"/>
    </row>
    <row r="32" spans="3:14" ht="15" customHeight="1" x14ac:dyDescent="0.55000000000000004">
      <c r="C32" s="452"/>
    </row>
    <row r="33" spans="3:14" ht="15" customHeight="1" thickBot="1" x14ac:dyDescent="0.6">
      <c r="C33" s="452"/>
      <c r="D33" s="451" t="s">
        <v>75</v>
      </c>
      <c r="F33" s="131" t="s">
        <v>268</v>
      </c>
      <c r="H33" s="131" t="s">
        <v>269</v>
      </c>
      <c r="J33" s="131" t="s">
        <v>270</v>
      </c>
    </row>
    <row r="34" spans="3:14" ht="15" customHeight="1" thickBot="1" x14ac:dyDescent="0.6">
      <c r="C34" s="452"/>
      <c r="D34" s="451"/>
      <c r="F34" s="79">
        <f>Inputs!$J$20</f>
        <v>0</v>
      </c>
      <c r="G34" s="10" t="s">
        <v>28</v>
      </c>
      <c r="H34" s="6">
        <v>6</v>
      </c>
      <c r="I34" s="150" t="s">
        <v>29</v>
      </c>
      <c r="J34" s="130">
        <f>F34/H34</f>
        <v>0</v>
      </c>
    </row>
    <row r="35" spans="3:14" ht="15" customHeight="1" x14ac:dyDescent="0.55000000000000004">
      <c r="C35" s="452"/>
      <c r="D35" s="451"/>
      <c r="F35" s="69"/>
      <c r="G35" s="70"/>
      <c r="H35" s="71"/>
      <c r="I35" s="70"/>
      <c r="J35" s="72" t="s">
        <v>66</v>
      </c>
    </row>
    <row r="36" spans="3:14" ht="15" customHeight="1" x14ac:dyDescent="0.55000000000000004">
      <c r="C36" s="452"/>
      <c r="D36" s="451"/>
      <c r="F36" s="73" t="s">
        <v>68</v>
      </c>
      <c r="G36" s="68" t="s">
        <v>69</v>
      </c>
      <c r="H36" s="68" t="s">
        <v>69</v>
      </c>
      <c r="I36" s="68" t="s">
        <v>69</v>
      </c>
      <c r="J36" s="72" t="s">
        <v>67</v>
      </c>
    </row>
    <row r="37" spans="3:14" ht="15" customHeight="1" x14ac:dyDescent="0.55000000000000004">
      <c r="C37" s="452"/>
      <c r="D37" s="451"/>
      <c r="F37" s="73" t="s">
        <v>70</v>
      </c>
      <c r="G37" s="70"/>
      <c r="H37" s="68"/>
      <c r="I37" s="68"/>
      <c r="J37" s="71"/>
      <c r="K37" s="70"/>
      <c r="L37" s="71"/>
    </row>
    <row r="38" spans="3:14" ht="14.25" customHeight="1" x14ac:dyDescent="0.55000000000000004">
      <c r="C38" s="452"/>
      <c r="D38" s="451"/>
      <c r="F38" s="131" t="s">
        <v>270</v>
      </c>
      <c r="H38" s="131" t="s">
        <v>74</v>
      </c>
      <c r="J38" s="131" t="s">
        <v>71</v>
      </c>
      <c r="L38" t="s">
        <v>319</v>
      </c>
    </row>
    <row r="39" spans="3:14" ht="15" customHeight="1" x14ac:dyDescent="0.55000000000000004">
      <c r="C39" s="452"/>
      <c r="D39" s="451"/>
      <c r="F39" s="130">
        <f>J34</f>
        <v>0</v>
      </c>
      <c r="G39" s="150" t="s">
        <v>30</v>
      </c>
      <c r="H39" s="19">
        <v>0.4</v>
      </c>
      <c r="I39" s="150" t="s">
        <v>30</v>
      </c>
      <c r="J39" s="81">
        <v>3</v>
      </c>
      <c r="K39" s="150" t="s">
        <v>29</v>
      </c>
      <c r="L39" s="81">
        <f>F39*H39*J39</f>
        <v>0</v>
      </c>
    </row>
    <row r="40" spans="3:14" ht="15" customHeight="1" x14ac:dyDescent="0.55000000000000004">
      <c r="C40" s="452"/>
      <c r="D40" s="451"/>
      <c r="F40" s="7"/>
      <c r="L40" s="150"/>
    </row>
    <row r="41" spans="3:14" ht="15" customHeight="1" x14ac:dyDescent="0.55000000000000004">
      <c r="C41" s="452"/>
      <c r="D41" s="146"/>
      <c r="F41" s="7"/>
      <c r="L41" s="150"/>
    </row>
    <row r="42" spans="3:14" ht="15" customHeight="1" x14ac:dyDescent="0.55000000000000004">
      <c r="C42" s="452"/>
      <c r="D42" s="132"/>
      <c r="E42" s="25"/>
      <c r="F42" s="133"/>
      <c r="G42" s="23"/>
      <c r="H42" s="24"/>
      <c r="I42" s="23"/>
      <c r="J42" s="24"/>
      <c r="L42" s="150"/>
    </row>
    <row r="43" spans="3:14" ht="15" customHeight="1" x14ac:dyDescent="0.55000000000000004">
      <c r="C43" s="452"/>
      <c r="D43" s="449" t="s">
        <v>321</v>
      </c>
      <c r="F43" s="7"/>
      <c r="G43" s="70"/>
      <c r="H43" s="68"/>
      <c r="I43" s="68"/>
      <c r="J43" s="71"/>
      <c r="M43" s="70"/>
      <c r="N43" s="149" t="s">
        <v>323</v>
      </c>
    </row>
    <row r="44" spans="3:14" ht="15" customHeight="1" x14ac:dyDescent="0.55000000000000004">
      <c r="C44" s="452"/>
      <c r="D44" s="450"/>
      <c r="F44" s="7"/>
      <c r="G44" s="70"/>
      <c r="H44" s="68"/>
      <c r="I44" s="68"/>
      <c r="J44" s="71"/>
      <c r="M44" s="191" t="s">
        <v>29</v>
      </c>
      <c r="N44" s="81">
        <f>L29+L39</f>
        <v>0</v>
      </c>
    </row>
    <row r="45" spans="3:14" ht="15" customHeight="1" x14ac:dyDescent="0.55000000000000004">
      <c r="C45" s="452"/>
      <c r="D45" s="13"/>
      <c r="E45" s="13"/>
      <c r="F45" s="14"/>
      <c r="G45" s="15"/>
      <c r="H45" s="14"/>
      <c r="I45" s="15"/>
      <c r="J45" s="14"/>
      <c r="K45" s="15"/>
      <c r="L45" s="14"/>
    </row>
    <row r="46" spans="3:14" ht="15" customHeight="1" thickBot="1" x14ac:dyDescent="0.6">
      <c r="C46" s="446" t="s">
        <v>76</v>
      </c>
    </row>
    <row r="47" spans="3:14" ht="15" customHeight="1" thickBot="1" x14ac:dyDescent="0.6">
      <c r="C47" s="447"/>
      <c r="D47" s="54" t="s">
        <v>77</v>
      </c>
      <c r="E47" s="18"/>
      <c r="F47" s="266">
        <f>Inputs!$J$82</f>
        <v>3384338</v>
      </c>
      <c r="G47" s="18"/>
      <c r="H47" s="55" t="s">
        <v>78</v>
      </c>
      <c r="K47" s="49"/>
    </row>
    <row r="48" spans="3:14" ht="15" customHeight="1" x14ac:dyDescent="0.55000000000000004">
      <c r="C48" s="447"/>
      <c r="D48" s="13"/>
      <c r="E48" s="13"/>
      <c r="F48" s="14"/>
      <c r="G48" s="15"/>
      <c r="H48" s="14"/>
      <c r="I48" s="15"/>
      <c r="J48" s="14"/>
      <c r="K48" s="15"/>
      <c r="L48" s="14"/>
    </row>
    <row r="49" spans="3:16" ht="15" customHeight="1" x14ac:dyDescent="0.55000000000000004">
      <c r="C49" s="447"/>
    </row>
    <row r="50" spans="3:16" ht="15" customHeight="1" x14ac:dyDescent="0.55000000000000004">
      <c r="C50" s="447"/>
      <c r="D50" s="445" t="s">
        <v>79</v>
      </c>
      <c r="F50" s="453" t="s">
        <v>80</v>
      </c>
      <c r="H50" s="453" t="s">
        <v>81</v>
      </c>
      <c r="K50" s="49"/>
    </row>
    <row r="51" spans="3:16" ht="15" customHeight="1" thickBot="1" x14ac:dyDescent="0.6">
      <c r="C51" s="447"/>
      <c r="D51" s="445"/>
      <c r="F51" s="453"/>
      <c r="H51" s="453"/>
      <c r="J51" s="1" t="s">
        <v>267</v>
      </c>
      <c r="L51" s="131" t="s">
        <v>274</v>
      </c>
    </row>
    <row r="52" spans="3:16" ht="15" customHeight="1" thickBot="1" x14ac:dyDescent="0.6">
      <c r="C52" s="447"/>
      <c r="D52" s="445"/>
      <c r="F52" s="19">
        <v>0.6</v>
      </c>
      <c r="G52" s="150" t="s">
        <v>29</v>
      </c>
      <c r="H52" s="3">
        <f>$F$47*F52</f>
        <v>2030602.7999999998</v>
      </c>
      <c r="I52" s="10" t="s">
        <v>28</v>
      </c>
      <c r="J52" s="267">
        <f>Inputs!$J$70</f>
        <v>63.19</v>
      </c>
      <c r="K52" s="150" t="s">
        <v>29</v>
      </c>
      <c r="L52" s="81">
        <f>ROUND(H52/J52,2)</f>
        <v>32134.880000000001</v>
      </c>
    </row>
    <row r="53" spans="3:16" ht="15" customHeight="1" x14ac:dyDescent="0.55000000000000004">
      <c r="C53" s="447"/>
      <c r="D53" s="445"/>
      <c r="F53" s="69"/>
      <c r="G53" s="70"/>
      <c r="H53" s="71"/>
      <c r="I53" s="70"/>
      <c r="K53" s="49"/>
      <c r="L53" s="72" t="s">
        <v>66</v>
      </c>
    </row>
    <row r="54" spans="3:16" ht="15" customHeight="1" x14ac:dyDescent="0.55000000000000004">
      <c r="C54" s="447"/>
      <c r="D54" s="445"/>
      <c r="F54" s="73" t="s">
        <v>68</v>
      </c>
      <c r="G54" s="68" t="s">
        <v>69</v>
      </c>
      <c r="H54" s="68" t="s">
        <v>69</v>
      </c>
      <c r="I54" s="68" t="s">
        <v>69</v>
      </c>
      <c r="J54" s="68" t="s">
        <v>69</v>
      </c>
      <c r="K54" s="68" t="s">
        <v>69</v>
      </c>
      <c r="L54" s="72" t="s">
        <v>67</v>
      </c>
    </row>
    <row r="55" spans="3:16" ht="15" customHeight="1" x14ac:dyDescent="0.55000000000000004">
      <c r="C55" s="447"/>
      <c r="D55" s="445"/>
      <c r="F55" s="73" t="s">
        <v>70</v>
      </c>
      <c r="G55" s="70"/>
      <c r="H55" s="68"/>
      <c r="I55" s="68"/>
      <c r="J55" s="71"/>
    </row>
    <row r="56" spans="3:16" ht="30.75" customHeight="1" thickBot="1" x14ac:dyDescent="0.6">
      <c r="C56" s="447"/>
      <c r="D56" s="445"/>
      <c r="F56" s="5" t="s">
        <v>274</v>
      </c>
      <c r="H56" s="454" t="s">
        <v>275</v>
      </c>
      <c r="I56" s="454"/>
      <c r="J56" s="454"/>
      <c r="M56" s="18"/>
      <c r="N56" s="443" t="s">
        <v>324</v>
      </c>
      <c r="O56" s="443"/>
      <c r="P56" s="443"/>
    </row>
    <row r="57" spans="3:16" ht="15" customHeight="1" thickBot="1" x14ac:dyDescent="0.6">
      <c r="C57" s="447"/>
      <c r="D57" s="445"/>
      <c r="F57" s="137">
        <f>L52</f>
        <v>32134.880000000001</v>
      </c>
      <c r="G57" s="10" t="s">
        <v>30</v>
      </c>
      <c r="H57" s="455" t="e">
        <f>Inputs!$J$32</f>
        <v>#N/A</v>
      </c>
      <c r="I57" s="456"/>
      <c r="J57" s="457"/>
      <c r="L57" s="213" t="s">
        <v>332</v>
      </c>
      <c r="M57" s="150" t="s">
        <v>29</v>
      </c>
      <c r="N57" s="81" t="e">
        <f>ROUND(F57*H57,2)</f>
        <v>#N/A</v>
      </c>
    </row>
    <row r="58" spans="3:16" ht="15" customHeight="1" x14ac:dyDescent="0.55000000000000004">
      <c r="C58" s="447"/>
      <c r="D58" s="13"/>
      <c r="E58" s="13"/>
      <c r="F58" s="14"/>
      <c r="G58" s="15"/>
      <c r="H58" s="14"/>
      <c r="I58" s="15"/>
      <c r="J58" s="14"/>
      <c r="K58" s="15"/>
      <c r="L58" s="14"/>
    </row>
    <row r="59" spans="3:16" ht="15" customHeight="1" x14ac:dyDescent="0.55000000000000004">
      <c r="C59" s="447"/>
    </row>
    <row r="60" spans="3:16" ht="15" customHeight="1" x14ac:dyDescent="0.55000000000000004">
      <c r="C60" s="447"/>
      <c r="D60" s="445" t="s">
        <v>83</v>
      </c>
      <c r="F60" s="453" t="s">
        <v>331</v>
      </c>
      <c r="H60" s="453" t="s">
        <v>330</v>
      </c>
      <c r="K60" s="49"/>
    </row>
    <row r="61" spans="3:16" ht="15" customHeight="1" thickBot="1" x14ac:dyDescent="0.6">
      <c r="C61" s="447"/>
      <c r="D61" s="445"/>
      <c r="F61" s="453"/>
      <c r="H61" s="453"/>
      <c r="J61" s="1" t="s">
        <v>267</v>
      </c>
      <c r="L61" s="131" t="s">
        <v>274</v>
      </c>
    </row>
    <row r="62" spans="3:16" ht="15" customHeight="1" thickBot="1" x14ac:dyDescent="0.6">
      <c r="C62" s="447"/>
      <c r="D62" s="445"/>
      <c r="F62" s="19">
        <v>0.4</v>
      </c>
      <c r="G62" s="150" t="s">
        <v>29</v>
      </c>
      <c r="H62" s="3">
        <f>$F$47*F62</f>
        <v>1353735.2000000002</v>
      </c>
      <c r="I62" s="10" t="s">
        <v>28</v>
      </c>
      <c r="J62" s="267">
        <f>Inputs!$J$70</f>
        <v>63.19</v>
      </c>
      <c r="K62" s="150" t="s">
        <v>29</v>
      </c>
      <c r="L62" s="81">
        <f>ROUND(H62/J62,2)</f>
        <v>21423.25</v>
      </c>
    </row>
    <row r="63" spans="3:16" ht="15" customHeight="1" x14ac:dyDescent="0.55000000000000004">
      <c r="C63" s="447"/>
      <c r="D63" s="445"/>
      <c r="F63" s="69"/>
      <c r="G63" s="70"/>
      <c r="H63" s="71"/>
      <c r="I63" s="70"/>
      <c r="K63" s="49"/>
      <c r="L63" s="72" t="s">
        <v>66</v>
      </c>
    </row>
    <row r="64" spans="3:16" ht="15" customHeight="1" x14ac:dyDescent="0.55000000000000004">
      <c r="C64" s="447"/>
      <c r="D64" s="445"/>
      <c r="F64" s="73" t="s">
        <v>68</v>
      </c>
      <c r="G64" s="68" t="s">
        <v>69</v>
      </c>
      <c r="H64" s="68" t="s">
        <v>69</v>
      </c>
      <c r="I64" s="68" t="s">
        <v>69</v>
      </c>
      <c r="J64" s="68" t="s">
        <v>69</v>
      </c>
      <c r="K64" s="68" t="s">
        <v>69</v>
      </c>
      <c r="L64" s="72" t="s">
        <v>67</v>
      </c>
    </row>
    <row r="65" spans="3:16" ht="15" customHeight="1" x14ac:dyDescent="0.55000000000000004">
      <c r="C65" s="447"/>
      <c r="D65" s="445"/>
      <c r="F65" s="73" t="s">
        <v>70</v>
      </c>
      <c r="G65" s="70"/>
      <c r="H65" s="68"/>
      <c r="I65" s="68"/>
      <c r="J65" s="71"/>
    </row>
    <row r="66" spans="3:16" ht="30.75" customHeight="1" thickBot="1" x14ac:dyDescent="0.6">
      <c r="C66" s="447"/>
      <c r="D66" s="445"/>
      <c r="F66" s="5" t="s">
        <v>274</v>
      </c>
      <c r="H66" s="454" t="s">
        <v>325</v>
      </c>
      <c r="I66" s="454"/>
      <c r="J66" s="454"/>
      <c r="K66" s="18"/>
      <c r="N66" s="443" t="s">
        <v>326</v>
      </c>
      <c r="O66" s="443"/>
      <c r="P66" s="443"/>
    </row>
    <row r="67" spans="3:16" ht="15" customHeight="1" thickBot="1" x14ac:dyDescent="0.6">
      <c r="C67" s="447"/>
      <c r="D67" s="445"/>
      <c r="F67" s="137">
        <f>L62</f>
        <v>21423.25</v>
      </c>
      <c r="G67" s="10" t="s">
        <v>30</v>
      </c>
      <c r="H67" s="455" t="e">
        <f>Inputs!$J$40</f>
        <v>#N/A</v>
      </c>
      <c r="I67" s="456"/>
      <c r="J67" s="457"/>
      <c r="L67" s="213" t="s">
        <v>332</v>
      </c>
      <c r="M67" s="150" t="s">
        <v>29</v>
      </c>
      <c r="N67" s="81" t="e">
        <f>ROUND(F67*H67,2)</f>
        <v>#N/A</v>
      </c>
    </row>
    <row r="68" spans="3:16" ht="15" customHeight="1" x14ac:dyDescent="0.55000000000000004">
      <c r="C68" s="448"/>
      <c r="D68" s="13"/>
      <c r="E68" s="13"/>
      <c r="F68" s="14"/>
      <c r="G68" s="15"/>
      <c r="H68" s="14"/>
      <c r="I68" s="15"/>
      <c r="J68" s="14"/>
      <c r="K68" s="15"/>
      <c r="L68" s="14"/>
    </row>
    <row r="69" spans="3:16" ht="15" customHeight="1" thickBot="1" x14ac:dyDescent="0.6">
      <c r="C69" s="24"/>
    </row>
    <row r="70" spans="3:16" ht="15" customHeight="1" thickTop="1" x14ac:dyDescent="0.55000000000000004">
      <c r="C70" s="128"/>
      <c r="I70" s="200"/>
      <c r="J70" s="201"/>
      <c r="K70" s="202"/>
      <c r="L70" s="201"/>
      <c r="M70" s="202"/>
      <c r="N70" s="201"/>
      <c r="O70" s="203"/>
    </row>
    <row r="71" spans="3:16" ht="15" customHeight="1" x14ac:dyDescent="0.55000000000000004">
      <c r="I71" s="204"/>
      <c r="J71" s="439" t="str">
        <f>B5</f>
        <v>Universal MCH - Matched funding</v>
      </c>
      <c r="K71" s="129"/>
      <c r="L71" s="128"/>
      <c r="M71" s="129"/>
      <c r="N71" s="192" t="s">
        <v>276</v>
      </c>
      <c r="O71" s="205"/>
    </row>
    <row r="72" spans="3:16" ht="15" customHeight="1" x14ac:dyDescent="0.55000000000000004">
      <c r="I72" s="204"/>
      <c r="J72" s="439"/>
      <c r="K72" s="129"/>
      <c r="L72" s="193" t="s">
        <v>327</v>
      </c>
      <c r="M72" s="129"/>
      <c r="N72" s="194" t="e">
        <f>ROUND(N25+N44+N57+N67,0)</f>
        <v>#N/A</v>
      </c>
      <c r="O72" s="205"/>
    </row>
    <row r="73" spans="3:16" ht="15" customHeight="1" x14ac:dyDescent="0.55000000000000004">
      <c r="I73" s="204"/>
      <c r="J73" s="439"/>
      <c r="K73" s="129"/>
      <c r="L73" s="193"/>
      <c r="M73" s="129"/>
      <c r="N73" s="195" t="s">
        <v>101</v>
      </c>
      <c r="O73" s="205"/>
    </row>
    <row r="74" spans="3:16" ht="15" customHeight="1" x14ac:dyDescent="0.55000000000000004">
      <c r="I74" s="204"/>
      <c r="J74" s="439"/>
      <c r="K74" s="129"/>
      <c r="L74" s="193"/>
      <c r="M74" s="129"/>
      <c r="N74" s="444" t="s">
        <v>30</v>
      </c>
      <c r="O74" s="205"/>
    </row>
    <row r="75" spans="3:16" ht="15" customHeight="1" x14ac:dyDescent="0.55000000000000004">
      <c r="D75" s="63"/>
      <c r="E75" s="64"/>
      <c r="F75" s="63"/>
      <c r="G75" s="65"/>
      <c r="H75" s="63"/>
      <c r="I75" s="206"/>
      <c r="J75" s="439"/>
      <c r="K75" s="196"/>
      <c r="L75" s="195"/>
      <c r="M75" s="129"/>
      <c r="N75" s="444"/>
      <c r="O75" s="205"/>
    </row>
    <row r="76" spans="3:16" ht="15" customHeight="1" thickBot="1" x14ac:dyDescent="0.6">
      <c r="I76" s="204"/>
      <c r="J76" s="439"/>
      <c r="K76" s="129"/>
      <c r="L76" s="193"/>
      <c r="M76" s="196"/>
      <c r="N76" s="192" t="s">
        <v>267</v>
      </c>
      <c r="O76" s="205"/>
    </row>
    <row r="77" spans="3:16" ht="15" customHeight="1" thickBot="1" x14ac:dyDescent="0.6">
      <c r="I77" s="204"/>
      <c r="J77" s="439"/>
      <c r="K77" s="129"/>
      <c r="L77" s="193" t="s">
        <v>328</v>
      </c>
      <c r="M77" s="129"/>
      <c r="N77" s="267">
        <f>Inputs!$J$70</f>
        <v>63.19</v>
      </c>
      <c r="O77" s="205"/>
    </row>
    <row r="78" spans="3:16" ht="15" customHeight="1" x14ac:dyDescent="0.55000000000000004">
      <c r="I78" s="204"/>
      <c r="J78" s="439"/>
      <c r="K78" s="129"/>
      <c r="L78" s="193"/>
      <c r="M78" s="197"/>
      <c r="N78" s="197"/>
      <c r="O78" s="207"/>
    </row>
    <row r="79" spans="3:16" ht="15" customHeight="1" x14ac:dyDescent="0.55000000000000004">
      <c r="I79" s="204"/>
      <c r="J79" s="439"/>
      <c r="K79" s="129"/>
      <c r="L79" s="193"/>
      <c r="M79" s="129"/>
      <c r="N79" s="444" t="s">
        <v>29</v>
      </c>
      <c r="O79" s="205"/>
    </row>
    <row r="80" spans="3:16" ht="15" customHeight="1" x14ac:dyDescent="0.55000000000000004">
      <c r="I80" s="204"/>
      <c r="J80" s="439"/>
      <c r="K80" s="129"/>
      <c r="L80" s="195"/>
      <c r="M80" s="129"/>
      <c r="N80" s="444"/>
      <c r="O80" s="205"/>
    </row>
    <row r="81" spans="3:15" ht="15" customHeight="1" x14ac:dyDescent="0.55000000000000004">
      <c r="C81" s="63"/>
      <c r="D81" s="63"/>
      <c r="E81" s="63"/>
      <c r="F81" s="63"/>
      <c r="G81" s="63"/>
      <c r="H81" s="63"/>
      <c r="I81" s="208"/>
      <c r="J81" s="439"/>
      <c r="K81" s="198"/>
      <c r="L81" s="193"/>
      <c r="M81" s="129"/>
      <c r="N81" s="192" t="s">
        <v>140</v>
      </c>
      <c r="O81" s="205"/>
    </row>
    <row r="82" spans="3:15" ht="15" customHeight="1" x14ac:dyDescent="0.55000000000000004">
      <c r="C82" s="63"/>
      <c r="I82" s="204"/>
      <c r="J82" s="439"/>
      <c r="K82" s="129"/>
      <c r="L82" s="193" t="s">
        <v>329</v>
      </c>
      <c r="M82" s="129"/>
      <c r="N82" s="199" t="e">
        <f>ROUND(N72*N77,2)</f>
        <v>#N/A</v>
      </c>
      <c r="O82" s="205"/>
    </row>
    <row r="83" spans="3:15" ht="15" customHeight="1" thickBot="1" x14ac:dyDescent="0.6">
      <c r="I83" s="209"/>
      <c r="J83" s="210"/>
      <c r="K83" s="211"/>
      <c r="L83" s="210"/>
      <c r="M83" s="211"/>
      <c r="N83" s="210"/>
      <c r="O83" s="212"/>
    </row>
    <row r="84" spans="3:15" ht="15" customHeight="1" thickTop="1" x14ac:dyDescent="0.55000000000000004"/>
  </sheetData>
  <sheetProtection sheet="1" objects="1" scenarios="1"/>
  <mergeCells count="26">
    <mergeCell ref="D60:D67"/>
    <mergeCell ref="D43:D44"/>
    <mergeCell ref="F60:F61"/>
    <mergeCell ref="H60:H61"/>
    <mergeCell ref="H66:J66"/>
    <mergeCell ref="H67:J67"/>
    <mergeCell ref="F50:F51"/>
    <mergeCell ref="H50:H51"/>
    <mergeCell ref="H56:J56"/>
    <mergeCell ref="H57:J57"/>
    <mergeCell ref="J71:J82"/>
    <mergeCell ref="A2:H2"/>
    <mergeCell ref="N56:P56"/>
    <mergeCell ref="N66:P66"/>
    <mergeCell ref="N79:N80"/>
    <mergeCell ref="N74:N75"/>
    <mergeCell ref="D50:D57"/>
    <mergeCell ref="C46:C68"/>
    <mergeCell ref="C7:C26"/>
    <mergeCell ref="D24:D25"/>
    <mergeCell ref="D33:D40"/>
    <mergeCell ref="D28:D30"/>
    <mergeCell ref="D8:D11"/>
    <mergeCell ref="D14:D16"/>
    <mergeCell ref="D19:D21"/>
    <mergeCell ref="C27:C45"/>
  </mergeCells>
  <phoneticPr fontId="41" type="noConversion"/>
  <pageMargins left="0.7" right="0.7" top="0.75" bottom="0.75" header="0.3" footer="0.3"/>
  <pageSetup paperSize="8" scale="85" fitToHeight="0" orientation="landscape"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2:O41"/>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25.453125" style="1" customWidth="1"/>
    <col min="4" max="4" width="5.7265625" style="1" customWidth="1"/>
    <col min="5" max="5" width="28.81640625" customWidth="1"/>
    <col min="6" max="6" width="5.7265625" style="150" customWidth="1"/>
    <col min="7" max="7" width="23.26953125" customWidth="1"/>
    <col min="8" max="8" width="5.7265625" style="150" customWidth="1"/>
    <col min="9" max="9" width="23.26953125" customWidth="1"/>
    <col min="10" max="10" width="5.7265625" style="150" customWidth="1"/>
    <col min="11" max="11" width="23.26953125" customWidth="1"/>
    <col min="12" max="12" width="5.7265625" style="150" customWidth="1"/>
    <col min="13" max="13" width="23.26953125" customWidth="1"/>
    <col min="14" max="14" width="5.7265625" style="150" customWidth="1"/>
  </cols>
  <sheetData>
    <row r="2" spans="1:14" ht="23.5" x14ac:dyDescent="0.55000000000000004">
      <c r="A2" s="440">
        <f>Inputs!$D$3</f>
        <v>0</v>
      </c>
      <c r="B2" s="441"/>
      <c r="C2" s="441"/>
      <c r="D2" s="441"/>
      <c r="E2" s="441"/>
      <c r="F2" s="441"/>
      <c r="G2" s="442"/>
    </row>
    <row r="4" spans="1:14" s="16" customFormat="1" ht="23.5" x14ac:dyDescent="0.55000000000000004">
      <c r="A4" s="39" t="s">
        <v>61</v>
      </c>
      <c r="B4" s="47"/>
      <c r="C4" s="17"/>
      <c r="D4" s="17"/>
      <c r="H4" s="17"/>
      <c r="J4" s="17"/>
      <c r="L4" s="17"/>
      <c r="N4" s="17"/>
    </row>
    <row r="5" spans="1:14" ht="23.5" x14ac:dyDescent="0.55000000000000004">
      <c r="B5" s="47" t="s">
        <v>84</v>
      </c>
    </row>
    <row r="6" spans="1:14" ht="15" customHeight="1" x14ac:dyDescent="0.55000000000000004">
      <c r="C6"/>
      <c r="D6"/>
      <c r="F6"/>
      <c r="H6"/>
      <c r="J6"/>
      <c r="L6"/>
      <c r="N6"/>
    </row>
    <row r="7" spans="1:14" ht="15" customHeight="1" thickBot="1" x14ac:dyDescent="0.6">
      <c r="C7" s="453" t="s">
        <v>382</v>
      </c>
      <c r="D7" s="453"/>
      <c r="E7" s="453"/>
      <c r="F7" s="453"/>
      <c r="G7" s="453"/>
      <c r="H7" s="453"/>
      <c r="I7" s="453"/>
      <c r="K7" t="s">
        <v>85</v>
      </c>
    </row>
    <row r="8" spans="1:14" ht="15" customHeight="1" thickBot="1" x14ac:dyDescent="0.6">
      <c r="C8" s="453"/>
      <c r="D8" s="453"/>
      <c r="E8" s="453"/>
      <c r="F8" s="453"/>
      <c r="G8" s="453"/>
      <c r="H8" s="453"/>
      <c r="I8" s="453"/>
      <c r="K8" s="268">
        <f>Inputs!$J$87</f>
        <v>33908</v>
      </c>
      <c r="L8" s="75" t="s">
        <v>333</v>
      </c>
    </row>
    <row r="9" spans="1:14" ht="15.65" customHeight="1" x14ac:dyDescent="0.55000000000000004">
      <c r="C9" s="453"/>
      <c r="D9" s="453"/>
      <c r="E9" s="453"/>
      <c r="F9" s="453"/>
      <c r="G9" s="453"/>
      <c r="H9" s="453"/>
      <c r="I9" s="453"/>
      <c r="M9" s="67"/>
    </row>
    <row r="10" spans="1:14" ht="15" customHeight="1" x14ac:dyDescent="0.55000000000000004">
      <c r="B10" s="40"/>
      <c r="C10" s="40"/>
      <c r="D10" s="127"/>
      <c r="E10" s="128"/>
      <c r="F10" s="129"/>
      <c r="G10" s="128"/>
      <c r="H10" s="129"/>
      <c r="I10" s="128"/>
      <c r="J10" s="129"/>
      <c r="K10" s="128"/>
      <c r="L10" s="129"/>
      <c r="M10" s="128"/>
      <c r="N10" s="129"/>
    </row>
    <row r="11" spans="1:14" ht="14.5" customHeight="1" x14ac:dyDescent="0.55000000000000004">
      <c r="C11" s="459" t="s">
        <v>86</v>
      </c>
      <c r="D11" s="25"/>
      <c r="E11" s="24"/>
      <c r="F11" s="23"/>
      <c r="G11" s="24"/>
      <c r="H11" s="23"/>
      <c r="I11" s="24"/>
      <c r="J11" s="23"/>
      <c r="K11" s="24"/>
      <c r="L11" s="23"/>
      <c r="M11" s="24"/>
      <c r="N11" s="23"/>
    </row>
    <row r="12" spans="1:14" ht="14.5" customHeight="1" x14ac:dyDescent="0.55000000000000004">
      <c r="C12" s="445"/>
      <c r="D12" s="127"/>
      <c r="E12" t="s">
        <v>376</v>
      </c>
      <c r="F12" s="129"/>
      <c r="G12" s="128"/>
      <c r="H12" s="129"/>
      <c r="I12" s="128"/>
      <c r="J12" s="129"/>
      <c r="K12" s="128"/>
      <c r="L12" s="129"/>
      <c r="M12" s="128"/>
      <c r="N12" s="129"/>
    </row>
    <row r="13" spans="1:14" ht="17.5" customHeight="1" x14ac:dyDescent="0.55000000000000004">
      <c r="C13" s="445"/>
      <c r="D13" s="127"/>
      <c r="E13" s="218" t="e">
        <f>Inputs!$D$4</f>
        <v>#N/A</v>
      </c>
      <c r="F13" s="129"/>
      <c r="G13" s="128"/>
      <c r="H13" s="129"/>
      <c r="I13" s="128"/>
      <c r="J13" s="129"/>
      <c r="K13" s="128"/>
      <c r="L13" s="129"/>
      <c r="M13" s="128"/>
      <c r="N13" s="129"/>
    </row>
    <row r="14" spans="1:14" ht="14.5" customHeight="1" x14ac:dyDescent="0.55000000000000004">
      <c r="C14" s="445"/>
      <c r="D14" s="127"/>
      <c r="F14" s="129"/>
      <c r="G14" s="128"/>
      <c r="H14" s="129"/>
      <c r="I14" s="128"/>
      <c r="J14" s="129"/>
      <c r="K14" s="128"/>
      <c r="L14" s="129"/>
      <c r="M14" s="128"/>
      <c r="N14" s="129"/>
    </row>
    <row r="15" spans="1:14" ht="14.5" customHeight="1" x14ac:dyDescent="0.55000000000000004">
      <c r="C15" s="445"/>
      <c r="D15" s="127"/>
      <c r="E15" s="128" t="s">
        <v>380</v>
      </c>
      <c r="F15" s="129"/>
      <c r="G15" s="128"/>
      <c r="H15" s="129"/>
      <c r="I15" s="128"/>
      <c r="J15" s="129"/>
      <c r="K15" s="128"/>
      <c r="L15" s="129"/>
      <c r="M15" s="128"/>
      <c r="N15" s="129"/>
    </row>
    <row r="16" spans="1:14" ht="18.649999999999999" customHeight="1" x14ac:dyDescent="0.55000000000000004">
      <c r="C16" s="445"/>
      <c r="D16" s="127"/>
      <c r="E16" s="380" t="e">
        <f>VLOOKUP($A$2,lists!$A$1:$G$83,7,)</f>
        <v>#N/A</v>
      </c>
      <c r="F16" s="380"/>
      <c r="G16" s="380"/>
      <c r="H16" s="129"/>
      <c r="I16" s="219" t="e">
        <f>IF(E16=lists!$H$4,"LGA total is above RSG threshold. Skip this section","")</f>
        <v>#N/A</v>
      </c>
      <c r="J16" s="129"/>
      <c r="K16" s="128"/>
      <c r="L16" s="129"/>
      <c r="M16" s="128"/>
      <c r="N16" s="129"/>
    </row>
    <row r="17" spans="3:15" ht="14.5" customHeight="1" x14ac:dyDescent="0.55000000000000004">
      <c r="C17" s="445"/>
      <c r="D17" s="127"/>
      <c r="E17" s="128"/>
      <c r="F17" s="129"/>
      <c r="G17" s="128"/>
      <c r="H17" s="129"/>
      <c r="I17" s="128"/>
      <c r="J17" s="129"/>
      <c r="K17" s="128"/>
      <c r="L17" s="129"/>
      <c r="M17" s="128"/>
      <c r="N17" s="129"/>
    </row>
    <row r="18" spans="3:15" ht="17.149999999999999" customHeight="1" x14ac:dyDescent="0.55000000000000004">
      <c r="C18" s="445"/>
      <c r="D18" s="127"/>
      <c r="E18" s="458" t="s">
        <v>378</v>
      </c>
      <c r="F18" s="129"/>
      <c r="G18" s="128"/>
      <c r="H18" s="129"/>
      <c r="I18" s="128"/>
      <c r="J18" s="129"/>
      <c r="K18" s="128"/>
      <c r="L18" s="129"/>
      <c r="M18" s="128"/>
      <c r="N18" s="129"/>
    </row>
    <row r="19" spans="3:15" ht="17.149999999999999" customHeight="1" x14ac:dyDescent="0.55000000000000004">
      <c r="C19" s="445"/>
      <c r="D19" s="127"/>
      <c r="E19" s="458"/>
      <c r="F19" s="129"/>
      <c r="G19" s="128" t="s">
        <v>87</v>
      </c>
      <c r="H19" s="129"/>
      <c r="I19" s="128"/>
      <c r="J19" s="129"/>
      <c r="K19" s="128"/>
      <c r="L19" s="129"/>
      <c r="M19" s="128"/>
      <c r="N19" s="129"/>
    </row>
    <row r="20" spans="3:15" ht="18.649999999999999" customHeight="1" x14ac:dyDescent="0.55000000000000004">
      <c r="C20" s="445"/>
      <c r="D20" s="127"/>
      <c r="E20" s="218" t="e">
        <f>IF(E16=lists!$H$4,"n/a",'UMCH - Matched'!N82)</f>
        <v>#N/A</v>
      </c>
      <c r="F20" s="129"/>
      <c r="G20" s="129" t="e">
        <f>IF(E16=lists!$H$4,"No",IF($K$8-$E$20&gt;0,"Yes","No"))</f>
        <v>#N/A</v>
      </c>
      <c r="H20" s="129"/>
      <c r="I20" s="219" t="e">
        <f>IF(G20="No","Skip this section","")</f>
        <v>#N/A</v>
      </c>
      <c r="J20" s="129"/>
      <c r="K20" s="128"/>
      <c r="L20" s="129"/>
      <c r="M20" s="128"/>
      <c r="N20" s="129"/>
    </row>
    <row r="21" spans="3:15" ht="14.5" customHeight="1" x14ac:dyDescent="0.55000000000000004">
      <c r="C21" s="445"/>
      <c r="D21" s="129"/>
      <c r="E21" s="129"/>
      <c r="F21" s="129"/>
      <c r="G21" s="129"/>
      <c r="H21" s="129"/>
      <c r="I21" s="128"/>
      <c r="J21" s="129"/>
      <c r="K21" s="128"/>
      <c r="L21" s="129"/>
      <c r="M21" s="128"/>
      <c r="N21" s="128"/>
    </row>
    <row r="22" spans="3:15" ht="14.5" customHeight="1" x14ac:dyDescent="0.55000000000000004">
      <c r="C22" s="445"/>
      <c r="D22" s="129"/>
      <c r="E22" s="220" t="s">
        <v>334</v>
      </c>
      <c r="F22" s="129"/>
      <c r="G22" s="220" t="s">
        <v>41</v>
      </c>
      <c r="H22" s="129"/>
      <c r="I22" s="192" t="s">
        <v>319</v>
      </c>
      <c r="J22" s="215"/>
      <c r="K22" s="128"/>
      <c r="L22" s="129"/>
      <c r="M22" s="128"/>
      <c r="N22" s="128"/>
      <c r="O22" s="66"/>
    </row>
    <row r="23" spans="3:15" ht="14.5" customHeight="1" x14ac:dyDescent="0.55000000000000004">
      <c r="C23" s="445"/>
      <c r="D23" s="129"/>
      <c r="E23" s="218" t="e">
        <f>IF(G20="No",0,$K$8-$E$20)</f>
        <v>#N/A</v>
      </c>
      <c r="F23" s="221" t="s">
        <v>28</v>
      </c>
      <c r="G23" s="222">
        <f>Inputs!$J$68</f>
        <v>126.38</v>
      </c>
      <c r="H23" s="129" t="s">
        <v>29</v>
      </c>
      <c r="I23" s="223" t="e">
        <f>ROUNDUP(E23/G23,0)</f>
        <v>#N/A</v>
      </c>
      <c r="J23" s="129"/>
      <c r="K23" s="128"/>
      <c r="L23" s="129"/>
      <c r="M23" s="128"/>
      <c r="N23" s="128"/>
      <c r="O23" s="66"/>
    </row>
    <row r="24" spans="3:15" ht="14.5" customHeight="1" x14ac:dyDescent="0.55000000000000004">
      <c r="C24" s="445"/>
      <c r="D24" s="129"/>
      <c r="E24" s="129"/>
      <c r="F24" s="129"/>
      <c r="G24" s="129"/>
      <c r="H24" s="129"/>
      <c r="I24" s="195" t="s">
        <v>150</v>
      </c>
      <c r="J24" s="129"/>
      <c r="K24" s="128"/>
      <c r="L24" s="129"/>
      <c r="M24" s="128"/>
      <c r="N24" s="128"/>
      <c r="O24" s="66"/>
    </row>
    <row r="25" spans="3:15" ht="14.5" customHeight="1" x14ac:dyDescent="0.55000000000000004">
      <c r="C25" s="460"/>
      <c r="D25" s="13"/>
      <c r="E25" s="14"/>
      <c r="F25" s="15"/>
      <c r="G25" s="14"/>
      <c r="H25" s="224"/>
      <c r="I25" s="224"/>
      <c r="J25" s="224"/>
      <c r="K25" s="224"/>
      <c r="L25" s="66"/>
      <c r="M25" s="66"/>
      <c r="N25" s="66"/>
      <c r="O25" s="66"/>
    </row>
    <row r="26" spans="3:15" ht="15" customHeight="1" thickBot="1" x14ac:dyDescent="0.6">
      <c r="H26" s="128"/>
      <c r="I26" s="128"/>
      <c r="J26" s="128"/>
      <c r="K26" s="128"/>
      <c r="L26"/>
      <c r="N26"/>
    </row>
    <row r="27" spans="3:15" ht="15" customHeight="1" thickTop="1" x14ac:dyDescent="0.55000000000000004">
      <c r="D27" s="200"/>
      <c r="E27" s="201"/>
      <c r="F27" s="202"/>
      <c r="G27" s="201"/>
      <c r="H27" s="202"/>
      <c r="I27" s="201"/>
      <c r="J27" s="203"/>
    </row>
    <row r="28" spans="3:15" ht="15" customHeight="1" x14ac:dyDescent="0.55000000000000004">
      <c r="D28" s="204"/>
      <c r="E28" s="439" t="str">
        <f>B5</f>
        <v>Universal MCH - Rural Sustainability Grant</v>
      </c>
      <c r="F28" s="129"/>
      <c r="G28" s="128"/>
      <c r="H28" s="129"/>
      <c r="I28" s="192" t="s">
        <v>276</v>
      </c>
      <c r="J28" s="205"/>
    </row>
    <row r="29" spans="3:15" ht="15" customHeight="1" x14ac:dyDescent="0.55000000000000004">
      <c r="D29" s="204"/>
      <c r="E29" s="439"/>
      <c r="F29" s="129"/>
      <c r="G29" s="193" t="s">
        <v>327</v>
      </c>
      <c r="H29" s="129"/>
      <c r="I29" s="194" t="e">
        <f>I23</f>
        <v>#N/A</v>
      </c>
      <c r="J29" s="205"/>
    </row>
    <row r="30" spans="3:15" ht="15" customHeight="1" x14ac:dyDescent="0.55000000000000004">
      <c r="D30" s="204"/>
      <c r="E30" s="439"/>
      <c r="F30" s="129"/>
      <c r="G30" s="193"/>
      <c r="H30" s="129"/>
      <c r="I30" s="195"/>
      <c r="J30" s="205"/>
    </row>
    <row r="31" spans="3:15" ht="15" customHeight="1" x14ac:dyDescent="0.55000000000000004">
      <c r="D31" s="204"/>
      <c r="E31" s="439"/>
      <c r="F31" s="129"/>
      <c r="G31" s="193"/>
      <c r="H31" s="129"/>
      <c r="I31" s="444" t="s">
        <v>30</v>
      </c>
      <c r="J31" s="205"/>
    </row>
    <row r="32" spans="3:15" ht="15" customHeight="1" x14ac:dyDescent="0.55000000000000004">
      <c r="C32" s="63"/>
      <c r="D32" s="206"/>
      <c r="E32" s="439"/>
      <c r="F32" s="196"/>
      <c r="G32" s="195"/>
      <c r="H32" s="129"/>
      <c r="I32" s="444"/>
      <c r="J32" s="205"/>
    </row>
    <row r="33" spans="3:10" ht="15" customHeight="1" thickBot="1" x14ac:dyDescent="0.6">
      <c r="D33" s="204"/>
      <c r="E33" s="439"/>
      <c r="F33" s="129"/>
      <c r="G33" s="193"/>
      <c r="H33" s="196"/>
      <c r="I33" s="149" t="s">
        <v>41</v>
      </c>
      <c r="J33" s="205"/>
    </row>
    <row r="34" spans="3:10" ht="15" customHeight="1" thickBot="1" x14ac:dyDescent="0.6">
      <c r="D34" s="204"/>
      <c r="E34" s="439"/>
      <c r="F34" s="129"/>
      <c r="G34" s="193" t="s">
        <v>328</v>
      </c>
      <c r="H34" s="129"/>
      <c r="I34" s="268">
        <f>Inputs!$J$68</f>
        <v>126.38</v>
      </c>
      <c r="J34" s="205"/>
    </row>
    <row r="35" spans="3:10" ht="15" customHeight="1" x14ac:dyDescent="0.55000000000000004">
      <c r="D35" s="204"/>
      <c r="E35" s="439"/>
      <c r="F35" s="129"/>
      <c r="G35" s="193"/>
      <c r="H35" s="197"/>
      <c r="I35" s="197"/>
      <c r="J35" s="207"/>
    </row>
    <row r="36" spans="3:10" ht="15" customHeight="1" x14ac:dyDescent="0.55000000000000004">
      <c r="D36" s="204"/>
      <c r="E36" s="439"/>
      <c r="F36" s="129"/>
      <c r="G36" s="193"/>
      <c r="H36" s="129"/>
      <c r="I36" s="444" t="s">
        <v>29</v>
      </c>
      <c r="J36" s="205"/>
    </row>
    <row r="37" spans="3:10" ht="15" customHeight="1" x14ac:dyDescent="0.55000000000000004">
      <c r="D37" s="204"/>
      <c r="E37" s="439"/>
      <c r="F37" s="129"/>
      <c r="G37" s="195"/>
      <c r="H37" s="129"/>
      <c r="I37" s="444"/>
      <c r="J37" s="205"/>
    </row>
    <row r="38" spans="3:10" ht="15" customHeight="1" x14ac:dyDescent="0.55000000000000004">
      <c r="C38" s="63"/>
      <c r="D38" s="208"/>
      <c r="E38" s="439"/>
      <c r="F38" s="198"/>
      <c r="G38" s="193"/>
      <c r="H38" s="129"/>
      <c r="I38" s="192" t="s">
        <v>140</v>
      </c>
      <c r="J38" s="205"/>
    </row>
    <row r="39" spans="3:10" ht="15" customHeight="1" x14ac:dyDescent="0.55000000000000004">
      <c r="D39" s="204"/>
      <c r="E39" s="439"/>
      <c r="F39" s="129"/>
      <c r="G39" s="193" t="s">
        <v>329</v>
      </c>
      <c r="H39" s="129"/>
      <c r="I39" s="139" t="e">
        <f>ROUND(I29*I34,2)</f>
        <v>#N/A</v>
      </c>
      <c r="J39" s="205"/>
    </row>
    <row r="40" spans="3:10" ht="15" customHeight="1" thickBot="1" x14ac:dyDescent="0.6">
      <c r="D40" s="209"/>
      <c r="E40" s="210"/>
      <c r="F40" s="211"/>
      <c r="G40" s="210"/>
      <c r="H40" s="211"/>
      <c r="I40" s="210"/>
      <c r="J40" s="212"/>
    </row>
    <row r="41" spans="3:10" ht="15" customHeight="1" thickTop="1" x14ac:dyDescent="0.55000000000000004"/>
  </sheetData>
  <sheetProtection sheet="1" objects="1" scenarios="1"/>
  <mergeCells count="7">
    <mergeCell ref="I31:I32"/>
    <mergeCell ref="I36:I37"/>
    <mergeCell ref="A2:G2"/>
    <mergeCell ref="C7:I9"/>
    <mergeCell ref="E18:E19"/>
    <mergeCell ref="E28:E39"/>
    <mergeCell ref="C11:C25"/>
  </mergeCells>
  <conditionalFormatting sqref="G20:G24 D21:F22 D23 F23 D24:F24">
    <cfRule type="cellIs" dxfId="39" priority="13" operator="equal">
      <formula>"No"</formula>
    </cfRule>
    <cfRule type="cellIs" dxfId="38" priority="14" operator="equal">
      <formula>"Yes"</formula>
    </cfRule>
  </conditionalFormatting>
  <conditionalFormatting sqref="I33">
    <cfRule type="cellIs" dxfId="37" priority="10" operator="equal">
      <formula>"No"</formula>
    </cfRule>
    <cfRule type="cellIs" dxfId="36" priority="11" operator="equal">
      <formula>"Yes"</formula>
    </cfRule>
  </conditionalFormatting>
  <conditionalFormatting sqref="I39">
    <cfRule type="cellIs" dxfId="35" priority="8" operator="equal">
      <formula>"No"</formula>
    </cfRule>
    <cfRule type="cellIs" dxfId="34" priority="9" operator="equal">
      <formula>"Yes"</formula>
    </cfRule>
  </conditionalFormatting>
  <conditionalFormatting sqref="D22:K41">
    <cfRule type="expression" dxfId="33" priority="7">
      <formula>$G$20="No"</formula>
    </cfRule>
  </conditionalFormatting>
  <conditionalFormatting sqref="I34">
    <cfRule type="cellIs" dxfId="32" priority="5" operator="equal">
      <formula>"No"</formula>
    </cfRule>
    <cfRule type="cellIs" dxfId="31" priority="6" operator="equal">
      <formula>"Yes"</formula>
    </cfRule>
  </conditionalFormatting>
  <conditionalFormatting sqref="K8">
    <cfRule type="cellIs" dxfId="30" priority="2" operator="equal">
      <formula>"No"</formula>
    </cfRule>
    <cfRule type="cellIs" dxfId="29" priority="3" operator="equal">
      <formula>"Yes"</formula>
    </cfRule>
  </conditionalFormatting>
  <pageMargins left="0.7" right="0.7" top="0.75" bottom="0.75" header="0.3" footer="0.3"/>
  <pageSetup paperSize="8" scale="83" fitToHeight="0" orientation="landscape" r:id="rId1"/>
  <headerFooter>
    <oddFooter>&amp;C&amp;1#&amp;"Arial Black"&amp;10&amp;K000000OFFICIAL</oddFooter>
  </headerFooter>
  <extLst>
    <ext xmlns:x14="http://schemas.microsoft.com/office/spreadsheetml/2009/9/main" uri="{78C0D931-6437-407d-A8EE-F0AAD7539E65}">
      <x14:conditionalFormattings>
        <x14:conditionalFormatting xmlns:xm="http://schemas.microsoft.com/office/excel/2006/main">
          <x14:cfRule type="expression" priority="1" id="{27CF27E1-B49A-4A2B-B044-BC046247CDB6}">
            <xm:f>$E$16=lists!$H$4</xm:f>
            <x14:dxf>
              <fill>
                <patternFill patternType="lightUp">
                  <bgColor theme="2"/>
                </patternFill>
              </fill>
            </x14:dxf>
          </x14:cfRule>
          <xm:sqref>D18:K21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S46"/>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25.453125" style="1" customWidth="1"/>
    <col min="4" max="4" width="5.7265625" style="1" customWidth="1"/>
    <col min="5" max="5" width="23.26953125" customWidth="1"/>
    <col min="6" max="6" width="5.7265625" style="150" customWidth="1"/>
    <col min="7" max="7" width="23.26953125" customWidth="1"/>
    <col min="8" max="8" width="5.7265625" style="150" customWidth="1"/>
    <col min="9" max="9" width="23.26953125" customWidth="1"/>
    <col min="10" max="10" width="5.7265625" style="150" customWidth="1"/>
    <col min="11" max="11" width="23.26953125" customWidth="1"/>
    <col min="12" max="12" width="5.7265625" style="150" customWidth="1"/>
    <col min="13" max="13" width="23.26953125" customWidth="1"/>
    <col min="14" max="14" width="5.7265625" style="150" customWidth="1"/>
    <col min="15" max="15" width="19.54296875" customWidth="1"/>
    <col min="16" max="16" width="6.26953125" customWidth="1"/>
    <col min="17" max="17" width="18.7265625" customWidth="1"/>
    <col min="18" max="18" width="6.26953125" customWidth="1"/>
    <col min="19" max="19" width="20.7265625" customWidth="1"/>
  </cols>
  <sheetData>
    <row r="2" spans="1:19" ht="23.5" x14ac:dyDescent="0.55000000000000004">
      <c r="A2" s="440">
        <f>Inputs!$D$3</f>
        <v>0</v>
      </c>
      <c r="B2" s="441"/>
      <c r="C2" s="441"/>
      <c r="D2" s="441"/>
      <c r="E2" s="441"/>
      <c r="F2" s="441"/>
      <c r="G2" s="442"/>
    </row>
    <row r="4" spans="1:19" s="16" customFormat="1" ht="23.5" x14ac:dyDescent="0.55000000000000004">
      <c r="A4" s="39" t="s">
        <v>61</v>
      </c>
      <c r="B4" s="47"/>
      <c r="C4" s="17"/>
      <c r="D4" s="17"/>
      <c r="H4" s="17"/>
      <c r="J4" s="17"/>
      <c r="L4" s="17"/>
      <c r="N4" s="17"/>
    </row>
    <row r="5" spans="1:19" ht="23.5" x14ac:dyDescent="0.55000000000000004">
      <c r="B5" s="47" t="s">
        <v>56</v>
      </c>
    </row>
    <row r="6" spans="1:19" ht="15" customHeight="1" x14ac:dyDescent="0.55000000000000004">
      <c r="B6"/>
      <c r="C6"/>
      <c r="D6"/>
      <c r="F6"/>
      <c r="H6"/>
      <c r="J6"/>
      <c r="L6"/>
      <c r="N6"/>
    </row>
    <row r="7" spans="1:19" s="1" customFormat="1" ht="15" customHeight="1" x14ac:dyDescent="0.35">
      <c r="A7" s="56"/>
      <c r="B7" s="57"/>
      <c r="C7" s="1" t="s">
        <v>88</v>
      </c>
      <c r="F7" s="147"/>
      <c r="H7" s="147"/>
      <c r="J7" s="225"/>
      <c r="K7" s="461" t="s">
        <v>89</v>
      </c>
      <c r="L7" s="461"/>
      <c r="M7" s="461"/>
      <c r="N7" s="226"/>
      <c r="P7"/>
      <c r="Q7"/>
      <c r="R7"/>
      <c r="S7"/>
    </row>
    <row r="8" spans="1:19" s="1" customFormat="1" ht="15" customHeight="1" x14ac:dyDescent="0.35">
      <c r="A8" s="56"/>
      <c r="B8" s="57"/>
      <c r="C8" s="1" t="s">
        <v>90</v>
      </c>
      <c r="F8" s="147"/>
      <c r="H8" s="147"/>
      <c r="J8" s="227"/>
      <c r="K8" s="215" t="s">
        <v>91</v>
      </c>
      <c r="L8" s="215"/>
      <c r="M8" s="215" t="s">
        <v>92</v>
      </c>
      <c r="N8" s="228"/>
      <c r="P8"/>
      <c r="Q8"/>
      <c r="R8"/>
      <c r="S8"/>
    </row>
    <row r="9" spans="1:19" s="1" customFormat="1" ht="15" customHeight="1" x14ac:dyDescent="0.35">
      <c r="A9" s="56"/>
      <c r="B9" s="57"/>
      <c r="F9" s="147"/>
      <c r="H9" s="147"/>
      <c r="J9" s="227"/>
      <c r="K9" s="229">
        <v>1</v>
      </c>
      <c r="L9" s="215"/>
      <c r="M9" s="230">
        <v>1.133</v>
      </c>
      <c r="N9" s="228"/>
      <c r="P9"/>
      <c r="Q9"/>
      <c r="R9"/>
      <c r="S9"/>
    </row>
    <row r="10" spans="1:19" s="1" customFormat="1" ht="15" customHeight="1" x14ac:dyDescent="0.35">
      <c r="A10" s="56"/>
      <c r="B10" s="57"/>
      <c r="C10" s="1" t="s">
        <v>93</v>
      </c>
      <c r="F10" s="147"/>
      <c r="H10" s="147"/>
      <c r="J10" s="217"/>
      <c r="K10" s="231" t="s">
        <v>94</v>
      </c>
      <c r="L10" s="231"/>
      <c r="M10" s="231" t="s">
        <v>95</v>
      </c>
      <c r="N10" s="232"/>
      <c r="P10"/>
      <c r="Q10"/>
      <c r="R10"/>
      <c r="S10"/>
    </row>
    <row r="11" spans="1:19" s="1" customFormat="1" ht="15" customHeight="1" x14ac:dyDescent="0.35">
      <c r="A11" s="56"/>
      <c r="B11" s="57"/>
      <c r="C11" s="58" t="s">
        <v>96</v>
      </c>
      <c r="F11" s="147"/>
      <c r="H11" s="147"/>
      <c r="J11" s="147"/>
      <c r="L11" s="147"/>
      <c r="N11" s="147"/>
      <c r="P11"/>
      <c r="Q11"/>
      <c r="R11"/>
      <c r="S11"/>
    </row>
    <row r="12" spans="1:19" s="1" customFormat="1" ht="15" customHeight="1" x14ac:dyDescent="0.35">
      <c r="A12" s="56"/>
      <c r="B12" s="57"/>
      <c r="C12" s="58" t="s">
        <v>97</v>
      </c>
      <c r="F12" s="147"/>
      <c r="H12" s="147"/>
      <c r="J12" s="147"/>
      <c r="L12" s="147"/>
      <c r="N12" s="147"/>
    </row>
    <row r="13" spans="1:19" ht="15" customHeight="1" x14ac:dyDescent="0.55000000000000004">
      <c r="C13" s="13"/>
      <c r="D13" s="13"/>
      <c r="E13" s="14"/>
      <c r="F13" s="15"/>
      <c r="G13" s="14"/>
      <c r="H13" s="15"/>
      <c r="I13" s="14"/>
      <c r="J13" s="15"/>
      <c r="K13" s="14"/>
      <c r="L13" s="15"/>
      <c r="M13" s="14"/>
      <c r="N13"/>
    </row>
    <row r="14" spans="1:19" ht="15" customHeight="1" x14ac:dyDescent="0.55000000000000004">
      <c r="C14" s="459" t="s">
        <v>98</v>
      </c>
      <c r="N14"/>
    </row>
    <row r="15" spans="1:19" ht="15" customHeight="1" thickBot="1" x14ac:dyDescent="0.6">
      <c r="C15" s="445"/>
      <c r="G15" s="131" t="s">
        <v>64</v>
      </c>
      <c r="I15" s="18" t="s">
        <v>74</v>
      </c>
      <c r="K15" t="s">
        <v>99</v>
      </c>
      <c r="M15" t="s">
        <v>100</v>
      </c>
      <c r="O15" t="s">
        <v>319</v>
      </c>
    </row>
    <row r="16" spans="1:19" ht="15" customHeight="1" thickBot="1" x14ac:dyDescent="0.6">
      <c r="C16" s="445"/>
      <c r="G16" s="103">
        <f>Inputs!$J$16</f>
        <v>0</v>
      </c>
      <c r="H16" s="150" t="s">
        <v>30</v>
      </c>
      <c r="I16" s="82">
        <v>0.1</v>
      </c>
      <c r="J16" s="150" t="s">
        <v>29</v>
      </c>
      <c r="K16" s="61">
        <f>ROUND(G16*I16,2)</f>
        <v>0</v>
      </c>
      <c r="L16" s="150" t="s">
        <v>30</v>
      </c>
      <c r="M16" s="214" t="e">
        <f>IF(Inputs!$D$5=$K$8,$K$9,IF(Inputs!$D$5=$M$8,$M$9,"Error"))</f>
        <v>#N/A</v>
      </c>
      <c r="N16" s="150" t="s">
        <v>29</v>
      </c>
      <c r="O16" s="61" t="e">
        <f>ROUND(K16*M16,2)</f>
        <v>#N/A</v>
      </c>
    </row>
    <row r="17" spans="3:16" ht="15" customHeight="1" x14ac:dyDescent="0.55000000000000004">
      <c r="C17" s="445"/>
    </row>
    <row r="18" spans="3:16" ht="15" customHeight="1" x14ac:dyDescent="0.55000000000000004">
      <c r="C18" s="460"/>
      <c r="D18" s="13"/>
      <c r="E18" s="14"/>
      <c r="F18" s="15"/>
      <c r="G18" s="14"/>
      <c r="H18" s="15"/>
      <c r="I18" s="14"/>
      <c r="J18" s="14"/>
      <c r="K18" s="14"/>
      <c r="L18" s="14"/>
      <c r="M18" s="14"/>
    </row>
    <row r="19" spans="3:16" ht="15" customHeight="1" x14ac:dyDescent="0.55000000000000004">
      <c r="C19" s="459" t="s">
        <v>102</v>
      </c>
    </row>
    <row r="20" spans="3:16" ht="15" customHeight="1" x14ac:dyDescent="0.55000000000000004">
      <c r="C20" s="445"/>
      <c r="E20" s="443" t="s">
        <v>103</v>
      </c>
      <c r="G20" s="443" t="s">
        <v>104</v>
      </c>
      <c r="I20" s="443" t="s">
        <v>105</v>
      </c>
    </row>
    <row r="21" spans="3:16" ht="15" customHeight="1" thickBot="1" x14ac:dyDescent="0.6">
      <c r="C21" s="445"/>
      <c r="E21" s="443"/>
      <c r="G21" s="443"/>
      <c r="I21" s="443"/>
    </row>
    <row r="22" spans="3:16" ht="15" customHeight="1" thickBot="1" x14ac:dyDescent="0.6">
      <c r="C22" s="445"/>
      <c r="E22" s="79">
        <f>Inputs!$J$52</f>
        <v>75547</v>
      </c>
      <c r="F22" s="150" t="s">
        <v>30</v>
      </c>
      <c r="G22" s="82">
        <v>0.05</v>
      </c>
      <c r="H22" s="150" t="s">
        <v>29</v>
      </c>
      <c r="I22" s="11">
        <f>ROUND(E22*G22,0)</f>
        <v>3777</v>
      </c>
    </row>
    <row r="23" spans="3:16" ht="15" customHeight="1" x14ac:dyDescent="0.55000000000000004">
      <c r="C23" s="445"/>
      <c r="D23"/>
      <c r="E23" s="59"/>
      <c r="F23"/>
      <c r="H23"/>
      <c r="J23"/>
      <c r="L23"/>
    </row>
    <row r="24" spans="3:16" ht="15" customHeight="1" x14ac:dyDescent="0.55000000000000004">
      <c r="C24" s="445"/>
      <c r="D24"/>
      <c r="E24" s="59"/>
      <c r="F24"/>
      <c r="H24"/>
      <c r="I24" s="150" t="s">
        <v>30</v>
      </c>
      <c r="J24"/>
      <c r="L24"/>
    </row>
    <row r="25" spans="3:16" ht="15" customHeight="1" x14ac:dyDescent="0.55000000000000004">
      <c r="C25" s="445"/>
      <c r="D25"/>
      <c r="E25" s="59"/>
      <c r="F25"/>
      <c r="H25"/>
      <c r="J25"/>
      <c r="L25"/>
    </row>
    <row r="26" spans="3:16" ht="15" customHeight="1" x14ac:dyDescent="0.55000000000000004">
      <c r="C26" s="445"/>
      <c r="D26"/>
      <c r="E26" s="28"/>
      <c r="G26" s="462" t="s">
        <v>82</v>
      </c>
      <c r="H26" s="462"/>
      <c r="I26" s="462"/>
    </row>
    <row r="27" spans="3:16" ht="15" customHeight="1" thickBot="1" x14ac:dyDescent="0.6">
      <c r="C27" s="445"/>
      <c r="D27"/>
      <c r="E27" s="28"/>
      <c r="G27" s="462"/>
      <c r="H27" s="462"/>
      <c r="I27" s="462"/>
      <c r="K27" t="s">
        <v>99</v>
      </c>
      <c r="M27" t="s">
        <v>100</v>
      </c>
      <c r="O27" t="s">
        <v>319</v>
      </c>
    </row>
    <row r="28" spans="3:16" ht="15" customHeight="1" thickBot="1" x14ac:dyDescent="0.6">
      <c r="C28" s="445"/>
      <c r="D28"/>
      <c r="E28" s="28"/>
      <c r="F28"/>
      <c r="I28" s="80" t="e">
        <f>Inputs!$J$32</f>
        <v>#N/A</v>
      </c>
      <c r="J28" s="150" t="s">
        <v>29</v>
      </c>
      <c r="K28" s="11" t="e">
        <f>ROUND(I22*I28,2)</f>
        <v>#N/A</v>
      </c>
      <c r="L28" s="150" t="s">
        <v>30</v>
      </c>
      <c r="M28" s="214" t="e">
        <f>IF(Inputs!$D$5=$K$8,$K$9,IF(Inputs!$D$5=$M$8,$M$9,"Error"))</f>
        <v>#N/A</v>
      </c>
      <c r="N28" s="150" t="s">
        <v>29</v>
      </c>
      <c r="O28" s="22" t="e">
        <f>ROUND(K28*M28,2)</f>
        <v>#N/A</v>
      </c>
    </row>
    <row r="29" spans="3:16" ht="15" customHeight="1" x14ac:dyDescent="0.55000000000000004">
      <c r="C29" s="445"/>
      <c r="D29"/>
      <c r="E29" s="28"/>
      <c r="F29"/>
      <c r="I29" s="150"/>
      <c r="K29" s="150"/>
      <c r="M29" s="150"/>
      <c r="O29" s="150"/>
      <c r="P29" s="150"/>
    </row>
    <row r="30" spans="3:16" ht="15" customHeight="1" x14ac:dyDescent="0.55000000000000004">
      <c r="C30" s="460"/>
      <c r="D30" s="13"/>
      <c r="E30" s="14"/>
      <c r="F30" s="15"/>
      <c r="G30" s="14"/>
      <c r="H30" s="15"/>
      <c r="I30" s="14"/>
      <c r="J30" s="14"/>
      <c r="K30" s="14"/>
      <c r="L30" s="14"/>
      <c r="M30" s="14"/>
    </row>
    <row r="31" spans="3:16" ht="15" customHeight="1" thickBot="1" x14ac:dyDescent="0.6"/>
    <row r="32" spans="3:16" ht="15" customHeight="1" thickTop="1" x14ac:dyDescent="0.55000000000000004">
      <c r="J32" s="200"/>
      <c r="K32" s="201"/>
      <c r="L32" s="202"/>
      <c r="M32" s="201"/>
      <c r="N32" s="202"/>
      <c r="O32" s="201"/>
      <c r="P32" s="203"/>
    </row>
    <row r="33" spans="3:16" ht="15" customHeight="1" x14ac:dyDescent="0.55000000000000004">
      <c r="J33" s="204"/>
      <c r="K33" s="439" t="str">
        <f>B5</f>
        <v>Universal MCH - Family Violence</v>
      </c>
      <c r="L33" s="129"/>
      <c r="M33" s="128"/>
      <c r="N33" s="129"/>
      <c r="O33" t="s">
        <v>335</v>
      </c>
      <c r="P33" s="205"/>
    </row>
    <row r="34" spans="3:16" ht="15" customHeight="1" x14ac:dyDescent="0.55000000000000004">
      <c r="J34" s="204"/>
      <c r="K34" s="439"/>
      <c r="L34" s="129"/>
      <c r="M34" s="193" t="s">
        <v>327</v>
      </c>
      <c r="N34" s="129"/>
      <c r="O34" s="61" t="e">
        <f>ROUNDUP(O16+O28,0)</f>
        <v>#N/A</v>
      </c>
      <c r="P34" s="205"/>
    </row>
    <row r="35" spans="3:16" ht="15" customHeight="1" x14ac:dyDescent="0.55000000000000004">
      <c r="J35" s="204"/>
      <c r="K35" s="439"/>
      <c r="L35" s="129"/>
      <c r="M35" s="193"/>
      <c r="N35" s="129"/>
      <c r="O35" s="195" t="s">
        <v>150</v>
      </c>
      <c r="P35" s="205"/>
    </row>
    <row r="36" spans="3:16" ht="15" customHeight="1" x14ac:dyDescent="0.55000000000000004">
      <c r="J36" s="204"/>
      <c r="K36" s="439"/>
      <c r="L36" s="129"/>
      <c r="M36" s="193"/>
      <c r="N36" s="129"/>
      <c r="O36" s="444" t="s">
        <v>30</v>
      </c>
      <c r="P36" s="205"/>
    </row>
    <row r="37" spans="3:16" ht="15" customHeight="1" x14ac:dyDescent="0.55000000000000004">
      <c r="C37" s="63"/>
      <c r="D37" s="64"/>
      <c r="E37" s="63"/>
      <c r="F37" s="65"/>
      <c r="G37" s="63"/>
      <c r="J37" s="206"/>
      <c r="K37" s="439"/>
      <c r="L37" s="196"/>
      <c r="M37" s="195"/>
      <c r="N37" s="129"/>
      <c r="O37" s="444"/>
      <c r="P37" s="205"/>
    </row>
    <row r="38" spans="3:16" ht="15" customHeight="1" thickBot="1" x14ac:dyDescent="0.6">
      <c r="J38" s="204"/>
      <c r="K38" s="439"/>
      <c r="L38" s="129"/>
      <c r="M38" s="193"/>
      <c r="N38" s="196"/>
      <c r="O38" s="149" t="s">
        <v>41</v>
      </c>
      <c r="P38" s="205"/>
    </row>
    <row r="39" spans="3:16" ht="15" customHeight="1" thickBot="1" x14ac:dyDescent="0.6">
      <c r="J39" s="204"/>
      <c r="K39" s="439"/>
      <c r="L39" s="129"/>
      <c r="M39" s="193" t="s">
        <v>328</v>
      </c>
      <c r="N39" s="129"/>
      <c r="O39" s="268">
        <f>Inputs!$J$68</f>
        <v>126.38</v>
      </c>
      <c r="P39" s="205"/>
    </row>
    <row r="40" spans="3:16" ht="15" customHeight="1" x14ac:dyDescent="0.55000000000000004">
      <c r="J40" s="204"/>
      <c r="K40" s="439"/>
      <c r="L40" s="129"/>
      <c r="M40" s="193"/>
      <c r="N40" s="197"/>
      <c r="O40" s="197"/>
      <c r="P40" s="207"/>
    </row>
    <row r="41" spans="3:16" ht="15" customHeight="1" x14ac:dyDescent="0.55000000000000004">
      <c r="J41" s="204"/>
      <c r="K41" s="439"/>
      <c r="L41" s="129"/>
      <c r="M41" s="193"/>
      <c r="N41" s="129"/>
      <c r="O41" s="444" t="s">
        <v>29</v>
      </c>
      <c r="P41" s="205"/>
    </row>
    <row r="42" spans="3:16" ht="15" customHeight="1" x14ac:dyDescent="0.55000000000000004">
      <c r="J42" s="204"/>
      <c r="K42" s="439"/>
      <c r="L42" s="129"/>
      <c r="M42" s="195"/>
      <c r="N42" s="129"/>
      <c r="O42" s="444"/>
      <c r="P42" s="205"/>
    </row>
    <row r="43" spans="3:16" ht="15" customHeight="1" x14ac:dyDescent="0.55000000000000004">
      <c r="C43" s="63"/>
      <c r="D43" s="63"/>
      <c r="E43" s="63"/>
      <c r="F43" s="63"/>
      <c r="G43" s="63"/>
      <c r="J43" s="208"/>
      <c r="K43" s="439"/>
      <c r="L43" s="198"/>
      <c r="M43" s="193"/>
      <c r="N43" s="129"/>
      <c r="O43" s="149" t="s">
        <v>140</v>
      </c>
      <c r="P43" s="205"/>
    </row>
    <row r="44" spans="3:16" ht="15" customHeight="1" x14ac:dyDescent="0.55000000000000004">
      <c r="J44" s="204"/>
      <c r="K44" s="439"/>
      <c r="L44" s="129"/>
      <c r="M44" s="193" t="s">
        <v>329</v>
      </c>
      <c r="N44" s="129"/>
      <c r="O44" s="139" t="e">
        <f>ROUND(O34*O39,2)</f>
        <v>#N/A</v>
      </c>
      <c r="P44" s="205"/>
    </row>
    <row r="45" spans="3:16" ht="15" customHeight="1" thickBot="1" x14ac:dyDescent="0.6">
      <c r="J45" s="209"/>
      <c r="K45" s="210"/>
      <c r="L45" s="211"/>
      <c r="M45" s="210"/>
      <c r="N45" s="211"/>
      <c r="O45" s="210"/>
      <c r="P45" s="212"/>
    </row>
    <row r="46" spans="3:16" ht="15" customHeight="1" thickTop="1" x14ac:dyDescent="0.55000000000000004"/>
  </sheetData>
  <sheetProtection sheet="1" objects="1" scenarios="1"/>
  <mergeCells count="11">
    <mergeCell ref="A2:G2"/>
    <mergeCell ref="O36:O37"/>
    <mergeCell ref="O41:O42"/>
    <mergeCell ref="K33:K44"/>
    <mergeCell ref="E20:E21"/>
    <mergeCell ref="K7:M7"/>
    <mergeCell ref="G20:G21"/>
    <mergeCell ref="I20:I21"/>
    <mergeCell ref="G26:I27"/>
    <mergeCell ref="C19:C30"/>
    <mergeCell ref="C14:C18"/>
  </mergeCells>
  <conditionalFormatting sqref="O38:O39">
    <cfRule type="cellIs" dxfId="27" priority="5" operator="equal">
      <formula>"No"</formula>
    </cfRule>
    <cfRule type="cellIs" dxfId="26" priority="6" operator="equal">
      <formula>"Yes"</formula>
    </cfRule>
  </conditionalFormatting>
  <conditionalFormatting sqref="O43">
    <cfRule type="cellIs" dxfId="25" priority="3" operator="equal">
      <formula>"No"</formula>
    </cfRule>
    <cfRule type="cellIs" dxfId="24" priority="4" operator="equal">
      <formula>"Yes"</formula>
    </cfRule>
  </conditionalFormatting>
  <conditionalFormatting sqref="O44">
    <cfRule type="cellIs" dxfId="23" priority="1" operator="equal">
      <formula>"No"</formula>
    </cfRule>
    <cfRule type="cellIs" dxfId="22" priority="2" operator="equal">
      <formula>"Yes"</formula>
    </cfRule>
  </conditionalFormatting>
  <pageMargins left="0.7" right="0.7" top="0.75" bottom="0.75" header="0.3" footer="0.3"/>
  <pageSetup paperSize="8" scale="85" fitToHeight="0" orientation="landscape" r:id="rId1"/>
  <headerFooter>
    <oddFooter>&amp;C&amp;1#&amp;"Arial Black"&amp;10&amp;K000000OFFICIAL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699C-C529-4B86-95C6-DD0ED20638E7}">
  <sheetPr>
    <tabColor theme="8"/>
    <pageSetUpPr fitToPage="1"/>
  </sheetPr>
  <dimension ref="A2:P46"/>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26953125" style="1" customWidth="1"/>
    <col min="5" max="5" width="5.7265625" style="1" customWidth="1"/>
    <col min="6" max="6" width="23.26953125" customWidth="1"/>
    <col min="7" max="7" width="5.7265625" style="150" customWidth="1"/>
    <col min="8" max="8" width="23.26953125" customWidth="1"/>
    <col min="9" max="9" width="5.7265625" style="150" customWidth="1"/>
    <col min="10" max="10" width="23.26953125" customWidth="1"/>
    <col min="11" max="11" width="5.7265625" style="150" customWidth="1"/>
    <col min="12" max="12" width="23.26953125" customWidth="1"/>
    <col min="13" max="13" width="5.7265625" style="150" customWidth="1"/>
    <col min="14" max="14" width="23.26953125" customWidth="1"/>
    <col min="15" max="15" width="5.7265625" style="150" customWidth="1"/>
    <col min="16" max="16" width="23.26953125" customWidth="1"/>
  </cols>
  <sheetData>
    <row r="2" spans="1:16" ht="23.5" x14ac:dyDescent="0.55000000000000004">
      <c r="A2" s="440">
        <f>Inputs!$D$3</f>
        <v>0</v>
      </c>
      <c r="B2" s="441"/>
      <c r="C2" s="441"/>
      <c r="D2" s="441"/>
      <c r="E2" s="441"/>
      <c r="F2" s="441"/>
      <c r="G2" s="441"/>
      <c r="H2" s="442"/>
    </row>
    <row r="4" spans="1:16" s="16" customFormat="1" ht="23.5" x14ac:dyDescent="0.55000000000000004">
      <c r="A4" s="39" t="s">
        <v>58</v>
      </c>
      <c r="B4" s="47"/>
      <c r="D4" s="17"/>
      <c r="E4" s="17"/>
      <c r="I4" s="17"/>
      <c r="K4" s="17"/>
      <c r="M4" s="17"/>
      <c r="O4" s="17"/>
    </row>
    <row r="5" spans="1:16" s="16" customFormat="1" ht="23.5" x14ac:dyDescent="0.55000000000000004">
      <c r="A5" s="39"/>
      <c r="B5" s="47" t="s">
        <v>250</v>
      </c>
      <c r="D5" s="17"/>
      <c r="E5" s="17"/>
      <c r="F5" s="17"/>
      <c r="I5" s="17"/>
      <c r="K5" s="17"/>
      <c r="M5" s="17"/>
      <c r="O5" s="17"/>
    </row>
    <row r="6" spans="1:16" ht="15" customHeight="1" x14ac:dyDescent="0.55000000000000004">
      <c r="C6" s="1"/>
    </row>
    <row r="7" spans="1:16" ht="15" customHeight="1" thickBot="1" x14ac:dyDescent="0.6">
      <c r="C7" s="465" t="s">
        <v>134</v>
      </c>
      <c r="D7" s="25"/>
      <c r="E7" s="100"/>
      <c r="F7" s="24" t="s">
        <v>135</v>
      </c>
      <c r="G7" s="23"/>
      <c r="H7" s="24" t="s">
        <v>136</v>
      </c>
      <c r="I7" s="23"/>
      <c r="J7" s="24" t="s">
        <v>137</v>
      </c>
      <c r="K7" s="23"/>
      <c r="L7" s="24" t="s">
        <v>138</v>
      </c>
      <c r="M7" s="23"/>
      <c r="N7" s="24" t="s">
        <v>139</v>
      </c>
      <c r="O7" s="23"/>
      <c r="P7" s="104" t="s">
        <v>140</v>
      </c>
    </row>
    <row r="8" spans="1:16" ht="15" customHeight="1" thickBot="1" x14ac:dyDescent="0.6">
      <c r="C8" s="466"/>
      <c r="D8" s="469" t="s">
        <v>141</v>
      </c>
      <c r="E8" s="100"/>
      <c r="F8" s="463">
        <v>2</v>
      </c>
      <c r="G8" s="96" t="s">
        <v>30</v>
      </c>
      <c r="H8" s="97" t="s">
        <v>98</v>
      </c>
      <c r="I8" s="96" t="s">
        <v>30</v>
      </c>
      <c r="J8" s="269">
        <f>Inputs!$J68</f>
        <v>126.38</v>
      </c>
      <c r="K8" s="96" t="s">
        <v>30</v>
      </c>
      <c r="L8" s="98">
        <v>1</v>
      </c>
      <c r="M8" s="96" t="s">
        <v>30</v>
      </c>
      <c r="N8" s="98">
        <v>1</v>
      </c>
      <c r="O8" s="96" t="s">
        <v>29</v>
      </c>
      <c r="P8" s="99">
        <f>ROUND(F8*J8*L8*N8,2)</f>
        <v>252.76</v>
      </c>
    </row>
    <row r="9" spans="1:16" ht="15" customHeight="1" thickBot="1" x14ac:dyDescent="0.6">
      <c r="C9" s="466"/>
      <c r="D9" s="470"/>
      <c r="E9" s="101"/>
      <c r="F9" s="464"/>
      <c r="G9" s="96" t="s">
        <v>30</v>
      </c>
      <c r="H9" s="97" t="s">
        <v>142</v>
      </c>
      <c r="I9" s="96" t="s">
        <v>30</v>
      </c>
      <c r="J9" s="269">
        <f>Inputs!$J72</f>
        <v>71.265715141699999</v>
      </c>
      <c r="K9" s="96" t="s">
        <v>30</v>
      </c>
      <c r="L9" s="98">
        <v>0.5</v>
      </c>
      <c r="M9" s="96" t="s">
        <v>30</v>
      </c>
      <c r="N9" s="98">
        <v>0.6</v>
      </c>
      <c r="O9" s="96" t="s">
        <v>29</v>
      </c>
      <c r="P9" s="99">
        <f>ROUND(F8*J9*L9*N9,2)</f>
        <v>42.76</v>
      </c>
    </row>
    <row r="10" spans="1:16" ht="15" customHeight="1" thickBot="1" x14ac:dyDescent="0.6">
      <c r="C10" s="466"/>
      <c r="D10" s="449" t="s">
        <v>143</v>
      </c>
      <c r="E10" s="21"/>
      <c r="F10" s="468">
        <v>3</v>
      </c>
      <c r="G10" s="96" t="s">
        <v>30</v>
      </c>
      <c r="H10" s="97" t="s">
        <v>98</v>
      </c>
      <c r="I10" s="96" t="s">
        <v>30</v>
      </c>
      <c r="J10" s="269">
        <f>Inputs!$J74</f>
        <v>69.487248100000002</v>
      </c>
      <c r="K10" s="96" t="s">
        <v>30</v>
      </c>
      <c r="L10" s="98">
        <v>1</v>
      </c>
      <c r="M10" s="96" t="s">
        <v>30</v>
      </c>
      <c r="N10" s="98">
        <v>1</v>
      </c>
      <c r="O10" s="96" t="s">
        <v>29</v>
      </c>
      <c r="P10" s="99">
        <f>ROUND(F10*J10*L10*N10,2)</f>
        <v>208.46</v>
      </c>
    </row>
    <row r="11" spans="1:16" ht="15" customHeight="1" thickBot="1" x14ac:dyDescent="0.6">
      <c r="C11" s="466"/>
      <c r="D11" s="471"/>
      <c r="E11" s="101"/>
      <c r="F11" s="464"/>
      <c r="G11" s="96" t="s">
        <v>30</v>
      </c>
      <c r="H11" s="97" t="s">
        <v>142</v>
      </c>
      <c r="I11" s="96" t="s">
        <v>30</v>
      </c>
      <c r="J11" s="269">
        <f>Inputs!$J76</f>
        <v>61.54766308</v>
      </c>
      <c r="K11" s="96" t="s">
        <v>30</v>
      </c>
      <c r="L11" s="98">
        <v>0.5</v>
      </c>
      <c r="M11" s="96" t="s">
        <v>30</v>
      </c>
      <c r="N11" s="98">
        <v>0.6</v>
      </c>
      <c r="O11" s="96" t="s">
        <v>29</v>
      </c>
      <c r="P11" s="99">
        <f>ROUND(F10*J11*L11*N11,2)</f>
        <v>55.39</v>
      </c>
    </row>
    <row r="12" spans="1:16" ht="15" customHeight="1" x14ac:dyDescent="0.55000000000000004">
      <c r="C12" s="466"/>
      <c r="E12" s="21"/>
      <c r="F12" s="21"/>
      <c r="L12" s="150"/>
      <c r="N12" s="150"/>
      <c r="P12" s="105"/>
    </row>
    <row r="13" spans="1:16" ht="15" customHeight="1" x14ac:dyDescent="0.55000000000000004">
      <c r="C13" s="466"/>
      <c r="E13" s="21"/>
      <c r="F13" s="21"/>
      <c r="H13" s="108"/>
      <c r="I13" s="108"/>
      <c r="J13" s="108"/>
      <c r="K13" s="108"/>
      <c r="L13" s="108"/>
      <c r="M13" s="108"/>
      <c r="N13" s="111" t="s">
        <v>144</v>
      </c>
      <c r="O13" s="145" t="s">
        <v>29</v>
      </c>
      <c r="P13" s="102">
        <f>SUM(P8:P11)</f>
        <v>559.37</v>
      </c>
    </row>
    <row r="14" spans="1:16" ht="15" customHeight="1" x14ac:dyDescent="0.55000000000000004">
      <c r="C14" s="467"/>
      <c r="D14" s="95"/>
      <c r="E14" s="101"/>
      <c r="F14" s="101"/>
      <c r="G14" s="15"/>
      <c r="H14" s="109"/>
      <c r="I14" s="109"/>
      <c r="J14" s="109"/>
      <c r="K14" s="109"/>
      <c r="L14" s="109"/>
      <c r="M14" s="109"/>
      <c r="N14" s="109"/>
      <c r="O14" s="109"/>
      <c r="P14" s="110"/>
    </row>
    <row r="15" spans="1:16" ht="15" customHeight="1" x14ac:dyDescent="0.55000000000000004">
      <c r="C15" s="1"/>
      <c r="D15" s="32"/>
      <c r="O15"/>
    </row>
    <row r="16" spans="1:16" ht="15" customHeight="1" x14ac:dyDescent="0.55000000000000004">
      <c r="C16" s="465" t="s">
        <v>145</v>
      </c>
      <c r="D16" s="25"/>
      <c r="E16" s="25"/>
      <c r="F16" s="24"/>
      <c r="G16" s="23"/>
      <c r="H16" s="24"/>
      <c r="I16" s="23"/>
      <c r="J16" s="24"/>
      <c r="K16" s="23"/>
      <c r="L16" s="24"/>
      <c r="M16" s="23"/>
      <c r="N16" s="24"/>
      <c r="O16"/>
    </row>
    <row r="17" spans="2:15" ht="15" customHeight="1" thickBot="1" x14ac:dyDescent="0.6">
      <c r="C17" s="466"/>
      <c r="D17" s="445" t="s">
        <v>146</v>
      </c>
      <c r="F17" s="1" t="s">
        <v>64</v>
      </c>
      <c r="H17" t="s">
        <v>147</v>
      </c>
      <c r="J17" t="s">
        <v>148</v>
      </c>
      <c r="L17" t="s">
        <v>149</v>
      </c>
      <c r="N17" t="s">
        <v>316</v>
      </c>
      <c r="O17"/>
    </row>
    <row r="18" spans="2:15" ht="15" customHeight="1" thickBot="1" x14ac:dyDescent="0.6">
      <c r="C18" s="466"/>
      <c r="D18" s="445"/>
      <c r="F18" s="103">
        <f>Inputs!$J$16</f>
        <v>0</v>
      </c>
      <c r="G18" s="150" t="s">
        <v>28</v>
      </c>
      <c r="H18" s="106">
        <v>8</v>
      </c>
      <c r="I18" s="150" t="s">
        <v>30</v>
      </c>
      <c r="J18" s="107">
        <v>0.4</v>
      </c>
      <c r="K18" s="150" t="s">
        <v>30</v>
      </c>
      <c r="L18" s="107">
        <v>0.75</v>
      </c>
      <c r="M18" s="150" t="s">
        <v>29</v>
      </c>
      <c r="N18" s="151">
        <f>ROUND(F18/H18*J18*L18,2)</f>
        <v>0</v>
      </c>
    </row>
    <row r="19" spans="2:15" ht="15" customHeight="1" x14ac:dyDescent="0.55000000000000004">
      <c r="C19" s="466"/>
      <c r="D19" s="445"/>
      <c r="N19" s="12"/>
    </row>
    <row r="20" spans="2:15" ht="15" customHeight="1" x14ac:dyDescent="0.55000000000000004">
      <c r="C20" s="467"/>
      <c r="D20" s="31"/>
      <c r="E20" s="13"/>
      <c r="F20" s="14"/>
      <c r="G20" s="15"/>
      <c r="H20" s="14"/>
      <c r="I20" s="15"/>
      <c r="J20" s="14"/>
      <c r="K20" s="15"/>
      <c r="L20" s="14"/>
      <c r="M20"/>
      <c r="N20" s="150"/>
      <c r="O20"/>
    </row>
    <row r="21" spans="2:15" ht="15" customHeight="1" x14ac:dyDescent="0.55000000000000004">
      <c r="C21" s="465" t="s">
        <v>151</v>
      </c>
      <c r="D21" s="25"/>
      <c r="E21" s="25"/>
      <c r="F21" s="24"/>
      <c r="G21" s="23"/>
      <c r="H21" s="24"/>
      <c r="I21" s="23"/>
      <c r="J21" s="24"/>
      <c r="K21" s="23"/>
      <c r="L21" s="24"/>
      <c r="M21"/>
      <c r="O21"/>
    </row>
    <row r="22" spans="2:15" ht="15" customHeight="1" thickBot="1" x14ac:dyDescent="0.6">
      <c r="C22" s="466"/>
      <c r="D22" s="450" t="s">
        <v>146</v>
      </c>
      <c r="F22" s="1" t="s">
        <v>64</v>
      </c>
      <c r="H22" t="s">
        <v>147</v>
      </c>
      <c r="J22" t="s">
        <v>148</v>
      </c>
      <c r="L22" t="s">
        <v>149</v>
      </c>
      <c r="N22" t="s">
        <v>316</v>
      </c>
    </row>
    <row r="23" spans="2:15" ht="15" customHeight="1" thickBot="1" x14ac:dyDescent="0.6">
      <c r="C23" s="466"/>
      <c r="D23" s="450"/>
      <c r="F23" s="103">
        <f>Inputs!$J$16</f>
        <v>0</v>
      </c>
      <c r="G23" s="150" t="s">
        <v>28</v>
      </c>
      <c r="H23" s="106">
        <v>8</v>
      </c>
      <c r="I23" s="150" t="s">
        <v>30</v>
      </c>
      <c r="J23" s="107">
        <v>1</v>
      </c>
      <c r="K23" s="150" t="s">
        <v>30</v>
      </c>
      <c r="L23" s="107">
        <v>0.3</v>
      </c>
      <c r="M23" s="150" t="s">
        <v>29</v>
      </c>
      <c r="N23" s="151">
        <f>ROUND(F23/H23*J23*L23,2)</f>
        <v>0</v>
      </c>
    </row>
    <row r="24" spans="2:15" ht="15" customHeight="1" x14ac:dyDescent="0.55000000000000004">
      <c r="C24" s="466"/>
      <c r="D24" s="450"/>
      <c r="N24" s="12"/>
    </row>
    <row r="25" spans="2:15" ht="15" customHeight="1" x14ac:dyDescent="0.55000000000000004">
      <c r="C25" s="467"/>
      <c r="D25" s="31"/>
      <c r="E25" s="13"/>
      <c r="F25" s="14"/>
      <c r="G25" s="15"/>
      <c r="H25" s="14"/>
      <c r="I25" s="15"/>
      <c r="J25" s="14"/>
      <c r="K25" s="15"/>
      <c r="L25" s="14"/>
      <c r="M25"/>
      <c r="N25" s="150"/>
      <c r="O25"/>
    </row>
    <row r="26" spans="2:15" ht="15" customHeight="1" x14ac:dyDescent="0.55000000000000004">
      <c r="C26" s="465" t="s">
        <v>152</v>
      </c>
      <c r="D26" s="25"/>
      <c r="E26" s="25"/>
      <c r="F26" s="24"/>
      <c r="G26" s="23"/>
      <c r="H26" s="24"/>
      <c r="I26" s="23"/>
      <c r="J26" s="24"/>
      <c r="K26" s="23"/>
      <c r="L26" s="24"/>
      <c r="M26"/>
      <c r="O26"/>
    </row>
    <row r="27" spans="2:15" ht="15" customHeight="1" thickBot="1" x14ac:dyDescent="0.6">
      <c r="C27" s="466"/>
      <c r="D27" s="450" t="s">
        <v>146</v>
      </c>
      <c r="F27" s="1" t="s">
        <v>153</v>
      </c>
      <c r="H27" t="s">
        <v>147</v>
      </c>
      <c r="J27" t="s">
        <v>148</v>
      </c>
      <c r="L27" t="s">
        <v>149</v>
      </c>
      <c r="N27" t="s">
        <v>316</v>
      </c>
    </row>
    <row r="28" spans="2:15" ht="15" customHeight="1" thickBot="1" x14ac:dyDescent="0.6">
      <c r="C28" s="466"/>
      <c r="D28" s="450"/>
      <c r="F28" s="103">
        <f>Inputs!$J$17</f>
        <v>0</v>
      </c>
      <c r="G28" s="150" t="s">
        <v>28</v>
      </c>
      <c r="H28" s="106">
        <v>8</v>
      </c>
      <c r="I28" s="150" t="s">
        <v>30</v>
      </c>
      <c r="J28" s="107">
        <v>1</v>
      </c>
      <c r="K28" s="150" t="s">
        <v>30</v>
      </c>
      <c r="L28" s="107">
        <v>0.3</v>
      </c>
      <c r="M28" s="150" t="s">
        <v>29</v>
      </c>
      <c r="N28" s="151">
        <f>ROUND(F28/H28*J28*L28,2)</f>
        <v>0</v>
      </c>
    </row>
    <row r="29" spans="2:15" ht="15" customHeight="1" x14ac:dyDescent="0.55000000000000004">
      <c r="C29" s="466"/>
      <c r="D29" s="450"/>
      <c r="N29" s="12"/>
    </row>
    <row r="30" spans="2:15" ht="15" customHeight="1" x14ac:dyDescent="0.55000000000000004">
      <c r="C30" s="467"/>
      <c r="D30" s="31"/>
      <c r="E30" s="13"/>
      <c r="F30" s="14"/>
      <c r="G30" s="15"/>
      <c r="H30" s="14"/>
      <c r="I30" s="14"/>
      <c r="J30" s="14"/>
      <c r="K30" s="14"/>
      <c r="L30" s="14"/>
      <c r="M30"/>
      <c r="N30" s="150"/>
      <c r="O30"/>
    </row>
    <row r="31" spans="2:15" ht="15" customHeight="1" thickBot="1" x14ac:dyDescent="0.6">
      <c r="B31" s="62"/>
      <c r="C31" s="63"/>
      <c r="D31" s="32"/>
      <c r="I31"/>
      <c r="K31"/>
      <c r="M31"/>
      <c r="O31"/>
    </row>
    <row r="32" spans="2:15" ht="15" customHeight="1" thickTop="1" x14ac:dyDescent="0.55000000000000004">
      <c r="C32" s="128"/>
      <c r="I32" s="200"/>
      <c r="J32" s="201"/>
      <c r="K32" s="202"/>
      <c r="L32" s="201"/>
      <c r="M32" s="202"/>
      <c r="N32" s="201"/>
      <c r="O32" s="203"/>
    </row>
    <row r="33" spans="3:15" ht="15" customHeight="1" x14ac:dyDescent="0.55000000000000004">
      <c r="I33" s="204"/>
      <c r="J33" s="439" t="str">
        <f>B5</f>
        <v>Universal MCH - Sleep and Settling - Information Sessions</v>
      </c>
      <c r="K33" s="129"/>
      <c r="L33" s="128"/>
      <c r="M33" s="129"/>
      <c r="N33" s="192" t="s">
        <v>336</v>
      </c>
      <c r="O33" s="205"/>
    </row>
    <row r="34" spans="3:15" ht="15" customHeight="1" x14ac:dyDescent="0.55000000000000004">
      <c r="I34" s="204"/>
      <c r="J34" s="439"/>
      <c r="K34" s="129"/>
      <c r="L34" s="193" t="s">
        <v>327</v>
      </c>
      <c r="M34" s="129"/>
      <c r="N34" s="151">
        <f>ROUNDUP(N18+N23+N28,0)</f>
        <v>0</v>
      </c>
      <c r="O34" s="205"/>
    </row>
    <row r="35" spans="3:15" ht="15" customHeight="1" x14ac:dyDescent="0.55000000000000004">
      <c r="I35" s="204"/>
      <c r="J35" s="439"/>
      <c r="K35" s="129"/>
      <c r="L35" s="193"/>
      <c r="M35" s="129"/>
      <c r="N35" s="195" t="s">
        <v>150</v>
      </c>
      <c r="O35" s="205"/>
    </row>
    <row r="36" spans="3:15" ht="15" customHeight="1" x14ac:dyDescent="0.55000000000000004">
      <c r="I36" s="204"/>
      <c r="J36" s="439"/>
      <c r="K36" s="129"/>
      <c r="L36" s="193"/>
      <c r="M36" s="129"/>
      <c r="N36" s="444" t="s">
        <v>30</v>
      </c>
      <c r="O36" s="205"/>
    </row>
    <row r="37" spans="3:15" ht="15" customHeight="1" x14ac:dyDescent="0.55000000000000004">
      <c r="D37" s="63"/>
      <c r="E37" s="64"/>
      <c r="F37" s="63"/>
      <c r="G37" s="65"/>
      <c r="H37" s="63"/>
      <c r="I37" s="206"/>
      <c r="J37" s="439"/>
      <c r="K37" s="196"/>
      <c r="L37" s="195"/>
      <c r="M37" s="129"/>
      <c r="N37" s="444"/>
      <c r="O37" s="205"/>
    </row>
    <row r="38" spans="3:15" ht="15" customHeight="1" x14ac:dyDescent="0.55000000000000004">
      <c r="I38" s="204"/>
      <c r="J38" s="439"/>
      <c r="K38" s="129"/>
      <c r="L38" s="193"/>
      <c r="M38" s="196"/>
      <c r="N38" s="192" t="s">
        <v>337</v>
      </c>
      <c r="O38" s="205"/>
    </row>
    <row r="39" spans="3:15" ht="15" customHeight="1" x14ac:dyDescent="0.55000000000000004">
      <c r="I39" s="204"/>
      <c r="J39" s="439"/>
      <c r="K39" s="129"/>
      <c r="L39" s="193" t="s">
        <v>328</v>
      </c>
      <c r="M39" s="129"/>
      <c r="N39" s="29">
        <f>$P$13</f>
        <v>559.37</v>
      </c>
      <c r="O39" s="205"/>
    </row>
    <row r="40" spans="3:15" ht="15" customHeight="1" x14ac:dyDescent="0.55000000000000004">
      <c r="I40" s="204"/>
      <c r="J40" s="439"/>
      <c r="K40" s="129"/>
      <c r="L40" s="193"/>
      <c r="M40" s="197"/>
      <c r="N40" s="197"/>
      <c r="O40" s="207"/>
    </row>
    <row r="41" spans="3:15" ht="15" customHeight="1" x14ac:dyDescent="0.55000000000000004">
      <c r="I41" s="204"/>
      <c r="J41" s="439"/>
      <c r="K41" s="129"/>
      <c r="L41" s="193"/>
      <c r="M41" s="129"/>
      <c r="N41" s="444" t="s">
        <v>29</v>
      </c>
      <c r="O41" s="205"/>
    </row>
    <row r="42" spans="3:15" ht="15" customHeight="1" x14ac:dyDescent="0.55000000000000004">
      <c r="I42" s="204"/>
      <c r="J42" s="439"/>
      <c r="K42" s="129"/>
      <c r="L42" s="195"/>
      <c r="M42" s="129"/>
      <c r="N42" s="444"/>
      <c r="O42" s="205"/>
    </row>
    <row r="43" spans="3:15" ht="15" customHeight="1" x14ac:dyDescent="0.55000000000000004">
      <c r="C43" s="63"/>
      <c r="D43" s="63"/>
      <c r="E43" s="63"/>
      <c r="F43" s="63"/>
      <c r="G43" s="63"/>
      <c r="H43" s="63"/>
      <c r="I43" s="208"/>
      <c r="J43" s="439"/>
      <c r="K43" s="198"/>
      <c r="L43" s="193"/>
      <c r="M43" s="129"/>
      <c r="N43" s="192" t="s">
        <v>140</v>
      </c>
      <c r="O43" s="205"/>
    </row>
    <row r="44" spans="3:15" ht="15" customHeight="1" x14ac:dyDescent="0.55000000000000004">
      <c r="C44" s="63"/>
      <c r="I44" s="204"/>
      <c r="J44" s="439"/>
      <c r="K44" s="129"/>
      <c r="L44" s="193" t="s">
        <v>329</v>
      </c>
      <c r="M44" s="129"/>
      <c r="N44" s="29">
        <f>ROUND(N34*N39,2)</f>
        <v>0</v>
      </c>
      <c r="O44" s="205"/>
    </row>
    <row r="45" spans="3:15" ht="15" customHeight="1" thickBot="1" x14ac:dyDescent="0.6">
      <c r="I45" s="209"/>
      <c r="J45" s="210"/>
      <c r="K45" s="211"/>
      <c r="L45" s="210"/>
      <c r="M45" s="211"/>
      <c r="N45" s="210"/>
      <c r="O45" s="212"/>
    </row>
    <row r="46" spans="3:15" ht="15" customHeight="1" thickTop="1" x14ac:dyDescent="0.55000000000000004"/>
  </sheetData>
  <sheetProtection sheet="1" objects="1" scenarios="1"/>
  <mergeCells count="15">
    <mergeCell ref="J33:J44"/>
    <mergeCell ref="N36:N37"/>
    <mergeCell ref="N41:N42"/>
    <mergeCell ref="C16:C20"/>
    <mergeCell ref="C21:C25"/>
    <mergeCell ref="C26:C30"/>
    <mergeCell ref="A2:H2"/>
    <mergeCell ref="D27:D29"/>
    <mergeCell ref="F8:F9"/>
    <mergeCell ref="C7:C14"/>
    <mergeCell ref="D22:D24"/>
    <mergeCell ref="D17:D19"/>
    <mergeCell ref="F10:F11"/>
    <mergeCell ref="D8:D9"/>
    <mergeCell ref="D10:D11"/>
  </mergeCells>
  <pageMargins left="0.7" right="0.7" top="0.75" bottom="0.75" header="0.3" footer="0.3"/>
  <pageSetup paperSize="8" scale="85" fitToHeight="0" orientation="landscape" r:id="rId1"/>
  <headerFooter>
    <oddFooter>&amp;C&amp;1#&amp;"Arial Black"&amp;10&amp;K000000OFFICIAL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46B8-052C-4819-8D4F-E968D7D232E9}">
  <sheetPr>
    <tabColor theme="8"/>
    <pageSetUpPr fitToPage="1"/>
  </sheetPr>
  <dimension ref="A2:O47"/>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25.453125" style="1" customWidth="1"/>
    <col min="4" max="4" width="5.7265625" style="1" customWidth="1"/>
    <col min="5" max="5" width="23.26953125" customWidth="1"/>
    <col min="6" max="6" width="5.7265625" style="150" customWidth="1"/>
    <col min="7" max="7" width="23.26953125" customWidth="1"/>
    <col min="8" max="8" width="5.7265625" style="150" customWidth="1"/>
    <col min="9" max="9" width="23.26953125" customWidth="1"/>
    <col min="10" max="10" width="5.7265625" style="150" customWidth="1"/>
    <col min="11" max="11" width="23.26953125" customWidth="1"/>
    <col min="12" max="12" width="5.7265625" style="150" customWidth="1"/>
    <col min="13" max="13" width="23.26953125" customWidth="1"/>
    <col min="14" max="14" width="5.7265625" style="150" customWidth="1"/>
    <col min="15" max="15" width="23.26953125" customWidth="1"/>
  </cols>
  <sheetData>
    <row r="2" spans="1:15" ht="23.5" x14ac:dyDescent="0.55000000000000004">
      <c r="A2" s="440">
        <f>Inputs!$D$3</f>
        <v>0</v>
      </c>
      <c r="B2" s="441"/>
      <c r="C2" s="441"/>
      <c r="D2" s="441"/>
      <c r="E2" s="441"/>
      <c r="F2" s="441"/>
      <c r="G2" s="442"/>
    </row>
    <row r="4" spans="1:15" s="16" customFormat="1" ht="23.5" x14ac:dyDescent="0.55000000000000004">
      <c r="A4" s="39" t="s">
        <v>58</v>
      </c>
      <c r="B4" s="47"/>
      <c r="C4" s="17"/>
      <c r="D4" s="17"/>
      <c r="H4" s="17"/>
      <c r="J4" s="17"/>
      <c r="L4" s="17"/>
      <c r="N4" s="17"/>
    </row>
    <row r="5" spans="1:15" ht="23.5" x14ac:dyDescent="0.55000000000000004">
      <c r="A5" s="39"/>
      <c r="B5" s="47" t="s">
        <v>251</v>
      </c>
      <c r="N5" s="17"/>
      <c r="O5" s="16"/>
    </row>
    <row r="6" spans="1:15" ht="15" customHeight="1" x14ac:dyDescent="0.55000000000000004">
      <c r="C6" s="46"/>
      <c r="D6" s="46"/>
      <c r="E6" s="46"/>
      <c r="F6" s="46"/>
      <c r="G6" s="46"/>
      <c r="H6" s="46"/>
      <c r="I6" s="46"/>
      <c r="J6" s="233"/>
      <c r="K6" s="461" t="s">
        <v>155</v>
      </c>
      <c r="L6" s="461"/>
      <c r="M6" s="461"/>
      <c r="N6" s="234"/>
      <c r="O6" s="46"/>
    </row>
    <row r="7" spans="1:15" s="1" customFormat="1" ht="15" customHeight="1" x14ac:dyDescent="0.5">
      <c r="A7" s="56"/>
      <c r="B7" s="57"/>
      <c r="C7" s="1" t="s">
        <v>154</v>
      </c>
      <c r="F7" s="147"/>
      <c r="H7" s="147"/>
      <c r="J7" s="227"/>
      <c r="K7" s="215" t="s">
        <v>91</v>
      </c>
      <c r="L7" s="215"/>
      <c r="M7" s="215" t="s">
        <v>92</v>
      </c>
      <c r="N7" s="235"/>
      <c r="O7" s="16"/>
    </row>
    <row r="8" spans="1:15" s="1" customFormat="1" ht="15" customHeight="1" x14ac:dyDescent="0.5">
      <c r="A8" s="56"/>
      <c r="B8" s="57"/>
      <c r="C8" s="1" t="s">
        <v>358</v>
      </c>
      <c r="F8" s="147"/>
      <c r="H8" s="147"/>
      <c r="J8" s="227"/>
      <c r="K8" s="236">
        <v>6</v>
      </c>
      <c r="L8" s="215"/>
      <c r="M8" s="236">
        <v>6.8</v>
      </c>
      <c r="N8" s="235"/>
      <c r="O8" s="16"/>
    </row>
    <row r="9" spans="1:15" s="1" customFormat="1" ht="15" customHeight="1" x14ac:dyDescent="0.5">
      <c r="A9" s="56"/>
      <c r="B9" s="57"/>
      <c r="C9" s="1" t="s">
        <v>359</v>
      </c>
      <c r="F9" s="147"/>
      <c r="H9" s="147"/>
      <c r="J9" s="217"/>
      <c r="K9" s="13"/>
      <c r="L9" s="13"/>
      <c r="M9" s="13"/>
      <c r="N9" s="237"/>
      <c r="O9" s="16"/>
    </row>
    <row r="10" spans="1:15" ht="15" customHeight="1" x14ac:dyDescent="0.55000000000000004">
      <c r="C10" s="13"/>
      <c r="D10" s="13"/>
      <c r="E10" s="14"/>
      <c r="F10" s="15"/>
      <c r="G10" s="14"/>
      <c r="H10" s="15"/>
      <c r="I10" s="14"/>
      <c r="J10" s="15"/>
      <c r="K10" s="14"/>
      <c r="L10" s="15"/>
      <c r="M10" s="14"/>
      <c r="N10" s="17"/>
      <c r="O10" s="16"/>
    </row>
    <row r="11" spans="1:15" ht="15" customHeight="1" x14ac:dyDescent="0.55000000000000004">
      <c r="C11" s="472" t="s">
        <v>79</v>
      </c>
      <c r="N11" s="17"/>
      <c r="O11" s="16"/>
    </row>
    <row r="12" spans="1:15" ht="15" customHeight="1" x14ac:dyDescent="0.55000000000000004">
      <c r="C12" s="473"/>
      <c r="E12" s="443" t="s">
        <v>156</v>
      </c>
      <c r="G12" s="443" t="s">
        <v>157</v>
      </c>
      <c r="I12" s="443" t="s">
        <v>158</v>
      </c>
      <c r="N12" s="17"/>
      <c r="O12" s="16"/>
    </row>
    <row r="13" spans="1:15" ht="15" customHeight="1" thickBot="1" x14ac:dyDescent="0.6">
      <c r="C13" s="473"/>
      <c r="E13" s="443"/>
      <c r="G13" s="443"/>
      <c r="I13" s="443"/>
      <c r="N13" s="17"/>
      <c r="O13" s="16"/>
    </row>
    <row r="14" spans="1:15" ht="15" customHeight="1" thickBot="1" x14ac:dyDescent="0.6">
      <c r="C14" s="473"/>
      <c r="E14" s="79">
        <f>Inputs!$J$52</f>
        <v>75547</v>
      </c>
      <c r="F14" s="150" t="s">
        <v>65</v>
      </c>
      <c r="G14" s="79">
        <f>Inputs!$J$53</f>
        <v>77408</v>
      </c>
      <c r="H14" s="150" t="s">
        <v>29</v>
      </c>
      <c r="I14" s="9">
        <f>E14+G14</f>
        <v>152955</v>
      </c>
      <c r="N14" s="17"/>
      <c r="O14" s="16"/>
    </row>
    <row r="15" spans="1:15" ht="15" customHeight="1" x14ac:dyDescent="0.55000000000000004">
      <c r="C15" s="473"/>
      <c r="E15" s="150"/>
      <c r="N15" s="17"/>
      <c r="O15" s="16"/>
    </row>
    <row r="16" spans="1:15" ht="15" customHeight="1" x14ac:dyDescent="0.55000000000000004">
      <c r="C16" s="473"/>
      <c r="E16" s="150"/>
      <c r="I16" s="443" t="s">
        <v>104</v>
      </c>
      <c r="N16" s="17"/>
      <c r="O16" s="16"/>
    </row>
    <row r="17" spans="3:15" ht="15" customHeight="1" x14ac:dyDescent="0.55000000000000004">
      <c r="C17" s="473"/>
      <c r="I17" s="443"/>
      <c r="N17" s="17"/>
      <c r="O17" s="16"/>
    </row>
    <row r="18" spans="3:15" ht="15" customHeight="1" x14ac:dyDescent="0.55000000000000004">
      <c r="C18" s="473"/>
      <c r="H18" s="150" t="s">
        <v>30</v>
      </c>
      <c r="I18" s="112">
        <v>4.4999999999999998E-2</v>
      </c>
      <c r="N18" s="17"/>
      <c r="O18" s="16"/>
    </row>
    <row r="19" spans="3:15" ht="15" customHeight="1" x14ac:dyDescent="0.55000000000000004">
      <c r="C19" s="473"/>
      <c r="N19" s="17"/>
      <c r="O19" s="16"/>
    </row>
    <row r="20" spans="3:15" ht="15" customHeight="1" x14ac:dyDescent="0.55000000000000004">
      <c r="C20" s="473"/>
      <c r="I20" s="443" t="s">
        <v>159</v>
      </c>
      <c r="J20" s="443"/>
      <c r="K20" s="443"/>
      <c r="N20" s="17"/>
      <c r="O20" s="16"/>
    </row>
    <row r="21" spans="3:15" ht="15" customHeight="1" x14ac:dyDescent="0.55000000000000004">
      <c r="C21" s="473"/>
      <c r="H21" s="5"/>
      <c r="I21" s="443"/>
      <c r="J21" s="443"/>
      <c r="K21" s="443"/>
      <c r="N21" s="17"/>
      <c r="O21" s="16"/>
    </row>
    <row r="22" spans="3:15" ht="15" customHeight="1" x14ac:dyDescent="0.55000000000000004">
      <c r="C22" s="473"/>
      <c r="H22" s="150" t="s">
        <v>29</v>
      </c>
      <c r="I22" s="11">
        <f>I14*I18</f>
        <v>6882.9749999999995</v>
      </c>
      <c r="N22" s="17"/>
      <c r="O22" s="16"/>
    </row>
    <row r="23" spans="3:15" ht="15" customHeight="1" x14ac:dyDescent="0.55000000000000004">
      <c r="C23" s="473"/>
      <c r="D23"/>
      <c r="F23"/>
      <c r="H23"/>
      <c r="J23"/>
      <c r="L23"/>
      <c r="N23" s="17"/>
      <c r="O23" s="16"/>
    </row>
    <row r="24" spans="3:15" ht="15" customHeight="1" x14ac:dyDescent="0.55000000000000004">
      <c r="C24" s="473"/>
      <c r="D24"/>
      <c r="E24" s="28"/>
      <c r="F24"/>
      <c r="I24" s="443" t="s">
        <v>82</v>
      </c>
      <c r="J24" s="443"/>
      <c r="K24" s="443"/>
      <c r="L24"/>
      <c r="N24" s="17"/>
      <c r="O24" s="16"/>
    </row>
    <row r="25" spans="3:15" ht="15" customHeight="1" thickBot="1" x14ac:dyDescent="0.6">
      <c r="C25" s="473"/>
      <c r="D25"/>
      <c r="E25" s="28"/>
      <c r="F25"/>
      <c r="I25" s="443"/>
      <c r="J25" s="443"/>
      <c r="K25" s="443"/>
      <c r="L25"/>
      <c r="N25" s="17"/>
      <c r="O25" s="16"/>
    </row>
    <row r="26" spans="3:15" ht="15" customHeight="1" thickBot="1" x14ac:dyDescent="0.6">
      <c r="C26" s="473"/>
      <c r="D26"/>
      <c r="E26" s="28"/>
      <c r="F26"/>
      <c r="H26" s="150" t="s">
        <v>30</v>
      </c>
      <c r="I26" s="83" t="e">
        <f>Inputs!$J$32</f>
        <v>#N/A</v>
      </c>
      <c r="L26"/>
      <c r="N26" s="17"/>
      <c r="O26" s="16"/>
    </row>
    <row r="27" spans="3:15" ht="15" customHeight="1" x14ac:dyDescent="0.55000000000000004">
      <c r="C27" s="473"/>
      <c r="D27"/>
      <c r="F27"/>
      <c r="H27"/>
      <c r="L27"/>
      <c r="N27" s="17"/>
      <c r="O27" s="16"/>
    </row>
    <row r="28" spans="3:15" ht="15" customHeight="1" x14ac:dyDescent="0.55000000000000004">
      <c r="C28" s="473"/>
      <c r="D28"/>
      <c r="F28"/>
      <c r="I28" s="12" t="s">
        <v>296</v>
      </c>
      <c r="K28" t="s">
        <v>155</v>
      </c>
      <c r="L28"/>
      <c r="M28" t="s">
        <v>319</v>
      </c>
    </row>
    <row r="29" spans="3:15" ht="15" customHeight="1" x14ac:dyDescent="0.55000000000000004">
      <c r="C29" s="473"/>
      <c r="D29"/>
      <c r="F29"/>
      <c r="H29" s="150" t="s">
        <v>29</v>
      </c>
      <c r="I29" s="11" t="e">
        <f>ROUND(I22*I26,0)</f>
        <v>#N/A</v>
      </c>
      <c r="J29" s="150" t="s">
        <v>30</v>
      </c>
      <c r="K29" s="61" t="e">
        <f>IF(Inputs!$D$5=$K$7,$K$8,IF(Inputs!$D$5=$M$7,$M$8,"Error"))</f>
        <v>#N/A</v>
      </c>
      <c r="L29" s="150" t="s">
        <v>29</v>
      </c>
      <c r="M29" s="11" t="e">
        <f>ROUNDUP(I29*K29,0)</f>
        <v>#N/A</v>
      </c>
    </row>
    <row r="30" spans="3:15" ht="15" customHeight="1" x14ac:dyDescent="0.55000000000000004">
      <c r="C30" s="473"/>
      <c r="D30"/>
      <c r="F30"/>
      <c r="I30" s="195" t="s">
        <v>101</v>
      </c>
      <c r="K30" s="38" t="e">
        <f>CONCATENATE("(",Inputs!$D$5,")")</f>
        <v>#N/A</v>
      </c>
      <c r="M30" s="195" t="s">
        <v>150</v>
      </c>
    </row>
    <row r="31" spans="3:15" ht="15" customHeight="1" x14ac:dyDescent="0.55000000000000004">
      <c r="C31" s="474"/>
      <c r="D31" s="13"/>
      <c r="E31" s="14"/>
      <c r="F31" s="15"/>
      <c r="G31" s="14"/>
      <c r="H31" s="15"/>
      <c r="I31" s="14"/>
      <c r="J31" s="15"/>
      <c r="K31" s="14"/>
      <c r="L31"/>
      <c r="N31"/>
    </row>
    <row r="32" spans="3:15" ht="15" customHeight="1" thickBot="1" x14ac:dyDescent="0.6">
      <c r="L32"/>
      <c r="N32"/>
    </row>
    <row r="33" spans="3:14" ht="15" customHeight="1" thickTop="1" x14ac:dyDescent="0.55000000000000004">
      <c r="H33" s="200"/>
      <c r="I33" s="201"/>
      <c r="J33" s="202"/>
      <c r="K33" s="201"/>
      <c r="L33" s="202"/>
      <c r="M33" s="201"/>
      <c r="N33" s="203"/>
    </row>
    <row r="34" spans="3:14" ht="15" customHeight="1" x14ac:dyDescent="0.55000000000000004">
      <c r="H34" s="204"/>
      <c r="I34" s="439" t="str">
        <f>B5</f>
        <v>Universal MCH - Sleep and Settling - Outreach Consultations</v>
      </c>
      <c r="J34" s="129"/>
      <c r="K34" s="128"/>
      <c r="L34" s="129"/>
      <c r="M34" t="s">
        <v>335</v>
      </c>
      <c r="N34" s="205"/>
    </row>
    <row r="35" spans="3:14" ht="15" customHeight="1" x14ac:dyDescent="0.55000000000000004">
      <c r="H35" s="204"/>
      <c r="I35" s="439"/>
      <c r="J35" s="129"/>
      <c r="K35" s="193" t="s">
        <v>327</v>
      </c>
      <c r="L35" s="129"/>
      <c r="M35" s="151" t="e">
        <f>M29</f>
        <v>#N/A</v>
      </c>
      <c r="N35" s="205"/>
    </row>
    <row r="36" spans="3:14" ht="15" customHeight="1" x14ac:dyDescent="0.55000000000000004">
      <c r="H36" s="204"/>
      <c r="I36" s="439"/>
      <c r="J36" s="129"/>
      <c r="K36" s="193"/>
      <c r="L36" s="129"/>
      <c r="M36" s="129"/>
      <c r="N36" s="205"/>
    </row>
    <row r="37" spans="3:14" ht="15" customHeight="1" x14ac:dyDescent="0.55000000000000004">
      <c r="H37" s="204"/>
      <c r="I37" s="439"/>
      <c r="J37" s="129"/>
      <c r="K37" s="193"/>
      <c r="L37" s="129"/>
      <c r="M37" s="444" t="s">
        <v>30</v>
      </c>
      <c r="N37" s="205"/>
    </row>
    <row r="38" spans="3:14" ht="15" customHeight="1" x14ac:dyDescent="0.55000000000000004">
      <c r="C38" s="63"/>
      <c r="D38" s="64"/>
      <c r="E38" s="63"/>
      <c r="F38" s="65"/>
      <c r="G38" s="63"/>
      <c r="H38" s="206"/>
      <c r="I38" s="439"/>
      <c r="J38" s="196"/>
      <c r="K38" s="195"/>
      <c r="L38" s="129"/>
      <c r="M38" s="444"/>
      <c r="N38" s="205"/>
    </row>
    <row r="39" spans="3:14" ht="15" customHeight="1" thickBot="1" x14ac:dyDescent="0.6">
      <c r="H39" s="204"/>
      <c r="I39" s="439"/>
      <c r="J39" s="129"/>
      <c r="K39" s="193"/>
      <c r="L39" s="196"/>
      <c r="M39" s="149" t="s">
        <v>41</v>
      </c>
      <c r="N39" s="205"/>
    </row>
    <row r="40" spans="3:14" ht="15" customHeight="1" thickBot="1" x14ac:dyDescent="0.6">
      <c r="H40" s="204"/>
      <c r="I40" s="439"/>
      <c r="J40" s="129"/>
      <c r="K40" s="193" t="s">
        <v>328</v>
      </c>
      <c r="L40" s="129"/>
      <c r="M40" s="268">
        <f>Inputs!$J$68</f>
        <v>126.38</v>
      </c>
      <c r="N40" s="205"/>
    </row>
    <row r="41" spans="3:14" ht="15" customHeight="1" x14ac:dyDescent="0.55000000000000004">
      <c r="H41" s="204"/>
      <c r="I41" s="439"/>
      <c r="J41" s="129"/>
      <c r="K41" s="193"/>
      <c r="L41" s="197"/>
      <c r="M41" s="197"/>
      <c r="N41" s="207"/>
    </row>
    <row r="42" spans="3:14" ht="15" customHeight="1" x14ac:dyDescent="0.55000000000000004">
      <c r="H42" s="204"/>
      <c r="I42" s="439"/>
      <c r="J42" s="129"/>
      <c r="K42" s="193"/>
      <c r="L42" s="129"/>
      <c r="M42" s="444" t="s">
        <v>29</v>
      </c>
      <c r="N42" s="205"/>
    </row>
    <row r="43" spans="3:14" ht="15" customHeight="1" x14ac:dyDescent="0.55000000000000004">
      <c r="H43" s="204"/>
      <c r="I43" s="439"/>
      <c r="J43" s="129"/>
      <c r="K43" s="195"/>
      <c r="L43" s="129"/>
      <c r="M43" s="444"/>
      <c r="N43" s="205"/>
    </row>
    <row r="44" spans="3:14" ht="15" customHeight="1" x14ac:dyDescent="0.55000000000000004">
      <c r="C44" s="63"/>
      <c r="D44" s="63"/>
      <c r="E44" s="63"/>
      <c r="F44" s="63"/>
      <c r="G44" s="63"/>
      <c r="H44" s="208"/>
      <c r="I44" s="439"/>
      <c r="J44" s="198"/>
      <c r="K44" s="193"/>
      <c r="L44" s="129"/>
      <c r="M44" s="192" t="s">
        <v>140</v>
      </c>
      <c r="N44" s="205"/>
    </row>
    <row r="45" spans="3:14" ht="15" customHeight="1" x14ac:dyDescent="0.55000000000000004">
      <c r="H45" s="204"/>
      <c r="I45" s="439"/>
      <c r="J45" s="129"/>
      <c r="K45" s="193" t="s">
        <v>329</v>
      </c>
      <c r="L45" s="129"/>
      <c r="M45" s="3" t="e">
        <f>ROUND(M35*M40,2)</f>
        <v>#N/A</v>
      </c>
      <c r="N45" s="205"/>
    </row>
    <row r="46" spans="3:14" ht="15" customHeight="1" thickBot="1" x14ac:dyDescent="0.6">
      <c r="H46" s="209"/>
      <c r="I46" s="210"/>
      <c r="J46" s="211"/>
      <c r="K46" s="210"/>
      <c r="L46" s="211"/>
      <c r="M46" s="210"/>
      <c r="N46" s="212"/>
    </row>
    <row r="47" spans="3:14" ht="15" customHeight="1" thickTop="1" x14ac:dyDescent="0.55000000000000004"/>
  </sheetData>
  <sheetProtection sheet="1" objects="1" scenarios="1"/>
  <mergeCells count="12">
    <mergeCell ref="I34:I45"/>
    <mergeCell ref="M37:M38"/>
    <mergeCell ref="M42:M43"/>
    <mergeCell ref="A2:G2"/>
    <mergeCell ref="G12:G13"/>
    <mergeCell ref="E12:E13"/>
    <mergeCell ref="I16:I17"/>
    <mergeCell ref="I12:I13"/>
    <mergeCell ref="I24:K25"/>
    <mergeCell ref="I20:K21"/>
    <mergeCell ref="K6:M6"/>
    <mergeCell ref="C11:C31"/>
  </mergeCells>
  <conditionalFormatting sqref="M39">
    <cfRule type="cellIs" dxfId="21" priority="5" operator="equal">
      <formula>"No"</formula>
    </cfRule>
    <cfRule type="cellIs" dxfId="20" priority="6" operator="equal">
      <formula>"Yes"</formula>
    </cfRule>
  </conditionalFormatting>
  <conditionalFormatting sqref="M40">
    <cfRule type="cellIs" dxfId="19" priority="1" operator="equal">
      <formula>"No"</formula>
    </cfRule>
    <cfRule type="cellIs" dxfId="18" priority="2" operator="equal">
      <formula>"Yes"</formula>
    </cfRule>
  </conditionalFormatting>
  <pageMargins left="0.7" right="0.7" top="0.75" bottom="0.75" header="0.3" footer="0.3"/>
  <pageSetup paperSize="8" scale="85" fitToHeight="0" orientation="landscape" r:id="rId1"/>
  <headerFooter>
    <oddFooter>&amp;C&amp;1#&amp;"Arial Black"&amp;10&amp;K000000OFFICIAL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EF1F-AE85-4C43-8C1B-CFC8E0C7CFD7}">
  <sheetPr>
    <tabColor theme="8"/>
    <pageSetUpPr fitToPage="1"/>
  </sheetPr>
  <dimension ref="A2:O31"/>
  <sheetViews>
    <sheetView zoomScale="80" zoomScaleNormal="80" zoomScalePageLayoutView="50" workbookViewId="0"/>
  </sheetViews>
  <sheetFormatPr defaultRowHeight="15" customHeight="1" x14ac:dyDescent="0.55000000000000004"/>
  <cols>
    <col min="1" max="1" width="4.7265625" style="40" customWidth="1"/>
    <col min="2" max="2" width="4.7265625" style="46" customWidth="1"/>
    <col min="3" max="3" width="17.81640625" customWidth="1"/>
    <col min="4" max="4" width="25.453125" style="1" customWidth="1"/>
    <col min="5" max="5" width="5.7265625" style="1" customWidth="1"/>
    <col min="6" max="6" width="23.26953125" customWidth="1"/>
    <col min="7" max="7" width="5.7265625" style="150" customWidth="1"/>
    <col min="8" max="8" width="23.26953125" customWidth="1"/>
    <col min="9" max="9" width="5.7265625" style="150" customWidth="1"/>
    <col min="10" max="10" width="23.26953125" customWidth="1"/>
    <col min="11" max="11" width="5.7265625" style="150" customWidth="1"/>
    <col min="12" max="12" width="23.26953125" customWidth="1"/>
    <col min="13" max="13" width="5.7265625" style="150" customWidth="1"/>
    <col min="14" max="14" width="23.26953125" customWidth="1"/>
  </cols>
  <sheetData>
    <row r="2" spans="1:14" ht="23.5" x14ac:dyDescent="0.55000000000000004">
      <c r="A2" s="440">
        <f>Inputs!$D$3</f>
        <v>0</v>
      </c>
      <c r="B2" s="441"/>
      <c r="C2" s="441"/>
      <c r="D2" s="441"/>
      <c r="E2" s="441"/>
      <c r="F2" s="441"/>
      <c r="G2" s="442"/>
      <c r="H2" s="150"/>
      <c r="I2"/>
      <c r="J2" s="150"/>
      <c r="K2"/>
      <c r="L2" s="150"/>
      <c r="M2"/>
      <c r="N2" s="150"/>
    </row>
    <row r="4" spans="1:14" s="16" customFormat="1" ht="23.5" x14ac:dyDescent="0.55000000000000004">
      <c r="A4" s="39" t="s">
        <v>61</v>
      </c>
      <c r="D4" s="17"/>
      <c r="E4" s="17"/>
      <c r="M4" s="17"/>
    </row>
    <row r="5" spans="1:14" s="16" customFormat="1" ht="23.5" x14ac:dyDescent="0.55000000000000004">
      <c r="A5" s="39"/>
      <c r="B5" s="47" t="s">
        <v>340</v>
      </c>
      <c r="D5" s="17"/>
      <c r="E5" s="17"/>
      <c r="H5" s="2"/>
      <c r="M5" s="17"/>
    </row>
    <row r="6" spans="1:14" s="16" customFormat="1" ht="15" customHeight="1" x14ac:dyDescent="0.55000000000000004">
      <c r="A6" s="39"/>
      <c r="B6" s="48"/>
      <c r="D6" s="17"/>
      <c r="E6" s="17"/>
      <c r="H6" s="2"/>
      <c r="M6" s="17"/>
    </row>
    <row r="7" spans="1:14" s="16" customFormat="1" ht="15" customHeight="1" x14ac:dyDescent="0.55000000000000004">
      <c r="A7" s="39"/>
      <c r="B7" s="48"/>
      <c r="D7" s="144" t="s">
        <v>280</v>
      </c>
      <c r="E7" s="1"/>
      <c r="F7" s="35" t="e">
        <f>VLOOKUP(Inputs!$D$3,lists!$A$1:$D$83,4,0)</f>
        <v>#N/A</v>
      </c>
      <c r="H7" s="51" t="e">
        <f>IF(F7="No","Skip this section","")</f>
        <v>#N/A</v>
      </c>
      <c r="M7" s="17"/>
    </row>
    <row r="8" spans="1:14" ht="15" customHeight="1" x14ac:dyDescent="0.55000000000000004">
      <c r="D8"/>
      <c r="E8"/>
      <c r="G8"/>
      <c r="I8"/>
      <c r="K8"/>
      <c r="M8"/>
    </row>
    <row r="9" spans="1:14" ht="15" customHeight="1" x14ac:dyDescent="0.55000000000000004">
      <c r="C9" s="446" t="s">
        <v>281</v>
      </c>
      <c r="D9" s="30"/>
      <c r="E9" s="25"/>
      <c r="F9" s="24"/>
      <c r="G9" s="27"/>
      <c r="H9" s="27"/>
      <c r="I9" s="27"/>
      <c r="J9" s="27"/>
      <c r="K9" s="27"/>
      <c r="L9" s="27"/>
      <c r="M9" s="27"/>
      <c r="N9" s="27"/>
    </row>
    <row r="10" spans="1:14" ht="42.65" customHeight="1" x14ac:dyDescent="0.55000000000000004">
      <c r="C10" s="447"/>
      <c r="D10" s="476" t="s">
        <v>341</v>
      </c>
      <c r="E10" s="477"/>
      <c r="F10" s="477"/>
      <c r="G10" s="477"/>
      <c r="H10" s="477"/>
      <c r="I10" s="477"/>
      <c r="J10" s="477"/>
      <c r="K10" s="477"/>
      <c r="L10" s="477"/>
      <c r="M10" s="477"/>
      <c r="N10" s="477"/>
    </row>
    <row r="11" spans="1:14" ht="15" customHeight="1" x14ac:dyDescent="0.55000000000000004">
      <c r="C11" s="447"/>
      <c r="D11" s="126"/>
      <c r="E11" s="127"/>
      <c r="F11" s="128"/>
      <c r="G11" s="156"/>
      <c r="H11" s="156"/>
      <c r="I11" s="156"/>
      <c r="J11" s="156"/>
      <c r="K11" s="156"/>
      <c r="L11" s="156"/>
      <c r="M11" s="156"/>
      <c r="N11" s="156"/>
    </row>
    <row r="12" spans="1:14" s="131" customFormat="1" ht="36" customHeight="1" thickBot="1" x14ac:dyDescent="0.6">
      <c r="A12" s="142"/>
      <c r="B12" s="143"/>
      <c r="C12" s="447"/>
      <c r="D12" s="450" t="s">
        <v>281</v>
      </c>
      <c r="F12" s="131" t="s">
        <v>268</v>
      </c>
      <c r="G12" s="475" t="s">
        <v>288</v>
      </c>
      <c r="H12" s="475"/>
      <c r="I12" s="475"/>
      <c r="J12" s="131" t="s">
        <v>289</v>
      </c>
      <c r="K12" s="150"/>
      <c r="L12" s="5" t="s">
        <v>291</v>
      </c>
      <c r="N12" s="5" t="s">
        <v>140</v>
      </c>
    </row>
    <row r="13" spans="1:14" ht="21" customHeight="1" thickBot="1" x14ac:dyDescent="0.6">
      <c r="C13" s="447"/>
      <c r="D13" s="450"/>
      <c r="F13" s="103" t="e">
        <f>IF($F$7="No","n/a",Inputs!$J$20)</f>
        <v>#N/A</v>
      </c>
      <c r="G13" s="10" t="s">
        <v>28</v>
      </c>
      <c r="H13" s="103" t="e">
        <f>IF($F$7="No","n/a",Inputs!$J$60)</f>
        <v>#N/A</v>
      </c>
      <c r="I13" s="150" t="s">
        <v>29</v>
      </c>
      <c r="J13" s="140" t="e">
        <f>F13/H13</f>
        <v>#N/A</v>
      </c>
      <c r="K13" s="150" t="s">
        <v>30</v>
      </c>
      <c r="L13" s="3">
        <f>Inputs!$J$92</f>
        <v>1800000</v>
      </c>
      <c r="M13" s="150" t="s">
        <v>29</v>
      </c>
      <c r="N13" s="74" t="e">
        <f>IF($F$7="No",0,ROUND(J13*L13,2))</f>
        <v>#N/A</v>
      </c>
    </row>
    <row r="14" spans="1:14" ht="15" customHeight="1" x14ac:dyDescent="0.55000000000000004">
      <c r="C14" s="447"/>
      <c r="D14" s="450"/>
      <c r="E14" s="150"/>
      <c r="M14"/>
    </row>
    <row r="15" spans="1:14" ht="15" customHeight="1" x14ac:dyDescent="0.55000000000000004">
      <c r="C15" s="448"/>
      <c r="D15" s="36"/>
      <c r="E15" s="15"/>
      <c r="F15" s="15"/>
      <c r="G15" s="15"/>
      <c r="H15" s="14"/>
      <c r="I15" s="15"/>
      <c r="J15" s="14"/>
      <c r="K15" s="15"/>
      <c r="L15" s="14"/>
      <c r="M15"/>
    </row>
    <row r="16" spans="1:14" ht="15" customHeight="1" thickBot="1" x14ac:dyDescent="0.6">
      <c r="C16" s="20"/>
      <c r="D16" s="150"/>
      <c r="E16" s="150"/>
      <c r="F16" s="150"/>
      <c r="M16"/>
    </row>
    <row r="17" spans="5:15" ht="15" customHeight="1" thickTop="1" x14ac:dyDescent="0.55000000000000004">
      <c r="E17"/>
      <c r="I17" s="200"/>
      <c r="J17" s="201"/>
      <c r="K17" s="202"/>
      <c r="L17" s="201"/>
      <c r="M17" s="202"/>
      <c r="N17" s="201"/>
      <c r="O17" s="203"/>
    </row>
    <row r="18" spans="5:15" ht="15" customHeight="1" x14ac:dyDescent="0.55000000000000004">
      <c r="I18" s="204"/>
      <c r="J18" s="439" t="str">
        <f>B5</f>
        <v>Universal MCH - Interface Council</v>
      </c>
      <c r="K18" s="129"/>
      <c r="L18" s="128"/>
      <c r="M18" s="129"/>
      <c r="N18" s="129"/>
      <c r="O18" s="205"/>
    </row>
    <row r="19" spans="5:15" ht="15" customHeight="1" x14ac:dyDescent="0.55000000000000004">
      <c r="I19" s="204"/>
      <c r="J19" s="439"/>
      <c r="K19" s="129"/>
      <c r="L19" s="193" t="s">
        <v>327</v>
      </c>
      <c r="M19" s="129"/>
      <c r="N19" s="216" t="s">
        <v>302</v>
      </c>
      <c r="O19" s="205"/>
    </row>
    <row r="20" spans="5:15" ht="15" customHeight="1" x14ac:dyDescent="0.55000000000000004">
      <c r="I20" s="204"/>
      <c r="J20" s="439"/>
      <c r="K20" s="129"/>
      <c r="L20" s="193"/>
      <c r="M20" s="129"/>
      <c r="N20" s="129"/>
      <c r="O20" s="205"/>
    </row>
    <row r="21" spans="5:15" ht="15" customHeight="1" x14ac:dyDescent="0.55000000000000004">
      <c r="I21" s="204"/>
      <c r="J21" s="439"/>
      <c r="K21" s="129"/>
      <c r="L21" s="193"/>
      <c r="M21" s="129"/>
      <c r="N21" s="129"/>
      <c r="O21" s="205"/>
    </row>
    <row r="22" spans="5:15" ht="15" customHeight="1" x14ac:dyDescent="0.55000000000000004">
      <c r="I22" s="206"/>
      <c r="J22" s="439"/>
      <c r="K22" s="196"/>
      <c r="L22" s="195"/>
      <c r="M22" s="129"/>
      <c r="N22" s="129"/>
      <c r="O22" s="205"/>
    </row>
    <row r="23" spans="5:15" ht="15" customHeight="1" x14ac:dyDescent="0.55000000000000004">
      <c r="I23" s="204"/>
      <c r="J23" s="439"/>
      <c r="K23" s="129"/>
      <c r="L23" s="193"/>
      <c r="M23" s="196"/>
      <c r="N23" s="196"/>
      <c r="O23" s="205"/>
    </row>
    <row r="24" spans="5:15" ht="15" customHeight="1" x14ac:dyDescent="0.55000000000000004">
      <c r="I24" s="204"/>
      <c r="J24" s="439"/>
      <c r="K24" s="129"/>
      <c r="L24" s="193" t="s">
        <v>328</v>
      </c>
      <c r="M24" s="129"/>
      <c r="N24" s="216" t="s">
        <v>302</v>
      </c>
      <c r="O24" s="205"/>
    </row>
    <row r="25" spans="5:15" ht="15" customHeight="1" x14ac:dyDescent="0.55000000000000004">
      <c r="I25" s="204"/>
      <c r="J25" s="439"/>
      <c r="K25" s="129"/>
      <c r="L25" s="193"/>
      <c r="M25" s="197"/>
      <c r="N25" s="197"/>
      <c r="O25" s="207"/>
    </row>
    <row r="26" spans="5:15" ht="15" customHeight="1" x14ac:dyDescent="0.55000000000000004">
      <c r="I26" s="204"/>
      <c r="J26" s="439"/>
      <c r="K26" s="129"/>
      <c r="L26" s="193"/>
      <c r="M26" s="129"/>
      <c r="N26" s="129"/>
      <c r="O26" s="205"/>
    </row>
    <row r="27" spans="5:15" ht="15" customHeight="1" x14ac:dyDescent="0.55000000000000004">
      <c r="I27" s="204"/>
      <c r="J27" s="439"/>
      <c r="K27" s="129"/>
      <c r="L27" s="195"/>
      <c r="M27" s="129"/>
      <c r="N27" s="129"/>
      <c r="O27" s="205"/>
    </row>
    <row r="28" spans="5:15" ht="15" customHeight="1" x14ac:dyDescent="0.55000000000000004">
      <c r="I28" s="208"/>
      <c r="J28" s="439"/>
      <c r="K28" s="198"/>
      <c r="L28" s="193"/>
      <c r="M28" s="129"/>
      <c r="N28" s="220" t="s">
        <v>140</v>
      </c>
      <c r="O28" s="205"/>
    </row>
    <row r="29" spans="5:15" ht="15" customHeight="1" x14ac:dyDescent="0.55000000000000004">
      <c r="I29" s="204"/>
      <c r="J29" s="439"/>
      <c r="K29" s="129"/>
      <c r="L29" s="193" t="s">
        <v>329</v>
      </c>
      <c r="M29" s="129"/>
      <c r="N29" s="3" t="e">
        <f>N13</f>
        <v>#N/A</v>
      </c>
      <c r="O29" s="205"/>
    </row>
    <row r="30" spans="5:15" ht="15" customHeight="1" thickBot="1" x14ac:dyDescent="0.6">
      <c r="I30" s="209"/>
      <c r="J30" s="210"/>
      <c r="K30" s="211"/>
      <c r="L30" s="210"/>
      <c r="M30" s="211"/>
      <c r="N30" s="210"/>
      <c r="O30" s="212"/>
    </row>
    <row r="31" spans="5:15" ht="15" customHeight="1" thickTop="1" x14ac:dyDescent="0.55000000000000004"/>
  </sheetData>
  <sheetProtection sheet="1" objects="1" scenarios="1"/>
  <mergeCells count="6">
    <mergeCell ref="A2:G2"/>
    <mergeCell ref="C9:C15"/>
    <mergeCell ref="D12:D14"/>
    <mergeCell ref="G12:I12"/>
    <mergeCell ref="J18:J29"/>
    <mergeCell ref="D10:N10"/>
  </mergeCells>
  <conditionalFormatting sqref="F7">
    <cfRule type="cellIs" dxfId="17" priority="6" operator="equal">
      <formula>"Yes"</formula>
    </cfRule>
    <cfRule type="cellIs" dxfId="16" priority="7" operator="equal">
      <formula>"No"</formula>
    </cfRule>
  </conditionalFormatting>
  <conditionalFormatting sqref="B9:P31">
    <cfRule type="expression" dxfId="15" priority="1">
      <formula>$F$7="No"</formula>
    </cfRule>
  </conditionalFormatting>
  <pageMargins left="0.7" right="0.7" top="0.75" bottom="0.75" header="0.3" footer="0.3"/>
  <pageSetup paperSize="8" scale="85" fitToHeight="0" orientation="landscape"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ED4C61343D24CA266188ACE7B88DF" ma:contentTypeVersion="11" ma:contentTypeDescription="Create a new document." ma:contentTypeScope="" ma:versionID="040e5a0df7cbaaba0cb317921914e746">
  <xsd:schema xmlns:xsd="http://www.w3.org/2001/XMLSchema" xmlns:xs="http://www.w3.org/2001/XMLSchema" xmlns:p="http://schemas.microsoft.com/office/2006/metadata/properties" xmlns:ns2="9ce7babe-14e8-45a2-a5ac-0e299c67a56c" xmlns:ns3="d93ed26e-7c9d-4e4f-b884-8b805c7e5298" targetNamespace="http://schemas.microsoft.com/office/2006/metadata/properties" ma:root="true" ma:fieldsID="08e0225e4b744a0f9167a939c77b6e32" ns2:_="" ns3:_="">
    <xsd:import namespace="9ce7babe-14e8-45a2-a5ac-0e299c67a56c"/>
    <xsd:import namespace="d93ed26e-7c9d-4e4f-b884-8b805c7e52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7babe-14e8-45a2-a5ac-0e299c67a5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3ed26e-7c9d-4e4f-b884-8b805c7e52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FDC4C5-C2F7-4A93-80DA-3A8EB4B21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7babe-14e8-45a2-a5ac-0e299c67a56c"/>
    <ds:schemaRef ds:uri="d93ed26e-7c9d-4e4f-b884-8b805c7e5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ADDA99-7B87-4BB0-8A5D-E10B7012C36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DFCFA5E-BC28-445C-A40B-4CF3155AAA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Inputs</vt:lpstr>
      <vt:lpstr>Funding Summary</vt:lpstr>
      <vt:lpstr>UMCH - Matched</vt:lpstr>
      <vt:lpstr>UMCH - RSG</vt:lpstr>
      <vt:lpstr>UMCH - Family Violence</vt:lpstr>
      <vt:lpstr>UMCH - S&amp;S Info Sessions</vt:lpstr>
      <vt:lpstr>UMCH - S&amp;S Outreach</vt:lpstr>
      <vt:lpstr>UMCH - Interface</vt:lpstr>
      <vt:lpstr>EMCH - Base</vt:lpstr>
      <vt:lpstr>EMCH - Interface</vt:lpstr>
      <vt:lpstr>Workforce Support</vt:lpstr>
      <vt:lpstr>lists</vt:lpstr>
    </vt:vector>
  </TitlesOfParts>
  <Manager/>
  <Company>Department of Education and Training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MCH_Funding Calculator_2018-19</dc:title>
  <dc:subject/>
  <dc:creator>Bartley, Olivia J</dc:creator>
  <cp:keywords/>
  <dc:description/>
  <cp:lastModifiedBy>Simon Barber (Health)</cp:lastModifiedBy>
  <cp:revision/>
  <dcterms:created xsi:type="dcterms:W3CDTF">2018-04-12T23:10:39Z</dcterms:created>
  <dcterms:modified xsi:type="dcterms:W3CDTF">2022-12-21T02:01:34Z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0x010100E52ED4C61343D24CA266188ACE7B88DF</vt:lpwstr>
  </property>
  <property fmtid="{D5CDD505-2E9C-101B-9397-08002B2CF9AE}" pid="3" name="MSIP_Label_43e64453-338c-4f93-8a4d-0039a0a41f2a_Enabled">
    <vt:lpwstr>true</vt:lpwstr>
  </property>
  <property fmtid="{D5CDD505-2E9C-101B-9397-08002B2CF9AE}" pid="4" name="MSIP_Label_43e64453-338c-4f93-8a4d-0039a0a41f2a_SetDate">
    <vt:lpwstr>2022-12-16T02:24:00Z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877cf5c6-024f-47be-9a10-77c27f3a64f2</vt:lpwstr>
  </property>
  <property fmtid="{D5CDD505-2E9C-101B-9397-08002B2CF9AE}" pid="9" name="MSIP_Label_43e64453-338c-4f93-8a4d-0039a0a41f2a_ContentBits">
    <vt:lpwstr>2</vt:lpwstr>
  </property>
</Properties>
</file>