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green\Desktop\"/>
    </mc:Choice>
  </mc:AlternateContent>
  <workbookProtection workbookAlgorithmName="SHA-512" workbookHashValue="k1pEsBoM0af4XJe/9mxmD+7rptB32JDEahG0Rogr+ykMjYz48Vn5ExUIRqoasaxYm0gK1axnZCf2/dW5vvdY1Q==" workbookSaltValue="j/YRYjTeQoyktbUtILhdFA==" workbookSpinCount="100000" lockStructure="1"/>
  <bookViews>
    <workbookView xWindow="-120" yWindow="-120" windowWidth="29040" windowHeight="17790" tabRatio="786"/>
  </bookViews>
  <sheets>
    <sheet name="COVER" sheetId="40" r:id="rId1"/>
    <sheet name="DHHS data" sheetId="41" state="hidden" r:id="rId2"/>
    <sheet name="CONSOLIDATED" sheetId="42" state="hidden" r:id="rId3"/>
    <sheet name="Other data" sheetId="19" state="hidden" r:id="rId4"/>
    <sheet name="COUNCIL REPORT" sheetId="31" r:id="rId5"/>
    <sheet name="CALCS" sheetId="20" state="hidden" r:id="rId6"/>
    <sheet name="Mapping" sheetId="10" state="hidden" r:id="rId7"/>
    <sheet name="Neighbours" sheetId="37" state="hidden" r:id="rId8"/>
    <sheet name="Chart Data" sheetId="39" state="hidden" r:id="rId9"/>
  </sheets>
  <definedNames>
    <definedName name="_xlnm._FilterDatabase" localSheetId="8" hidden="1">'Chart Data'!$A$11:$A$11</definedName>
    <definedName name="_xlnm._FilterDatabase" localSheetId="1" hidden="1">'DHHS data'!#REF!</definedName>
    <definedName name="_xlnm._FilterDatabase" localSheetId="6" hidden="1">Mapping!$AI$1:$AJ$4</definedName>
    <definedName name="_xlnm._FilterDatabase" localSheetId="3" hidden="1">'Other data'!#REF!</definedName>
    <definedName name="baseline">COVER!$C$8</definedName>
    <definedName name="baseline2">COVER!$D$8</definedName>
    <definedName name="council">COVER!$C$9</definedName>
    <definedName name="council2">COVER!$D$9</definedName>
    <definedName name="_xlnm.Print_Area" localSheetId="4">'COUNCIL REPORT'!$A$1:$R$310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0" i="31" l="1"/>
  <c r="F195" i="31" l="1"/>
  <c r="F196" i="31"/>
  <c r="F197" i="31"/>
  <c r="F198" i="31"/>
  <c r="F199" i="31"/>
  <c r="F194" i="31"/>
  <c r="B271" i="31" l="1"/>
  <c r="A5" i="31"/>
  <c r="E115" i="31" l="1"/>
  <c r="E116" i="31"/>
  <c r="E117" i="31"/>
  <c r="E118" i="31"/>
  <c r="E114" i="31"/>
  <c r="H12" i="41" l="1"/>
  <c r="I12" i="41" s="1"/>
  <c r="J12" i="41" s="1"/>
  <c r="K12" i="41" s="1"/>
  <c r="L12" i="41" s="1"/>
  <c r="M12" i="41" s="1"/>
  <c r="S12" i="41"/>
  <c r="T12" i="41"/>
  <c r="U12" i="41"/>
  <c r="V12" i="41" s="1"/>
  <c r="W12" i="41" s="1"/>
  <c r="X12" i="41" s="1"/>
  <c r="AC12" i="41"/>
  <c r="AC11" i="41" s="1"/>
  <c r="AD12" i="41"/>
  <c r="AD11" i="41" s="1"/>
  <c r="AE12" i="41"/>
  <c r="AE11" i="41" s="1"/>
  <c r="AF12" i="41"/>
  <c r="AF11" i="41" s="1"/>
  <c r="AG12" i="41"/>
  <c r="AG11" i="41" s="1"/>
  <c r="AH12" i="41"/>
  <c r="AH11" i="41" s="1"/>
  <c r="AI12" i="41"/>
  <c r="AI11" i="41" s="1"/>
  <c r="AJ12" i="41"/>
  <c r="AJ11" i="41" s="1"/>
  <c r="AK12" i="41"/>
  <c r="AK11" i="41" s="1"/>
  <c r="AL12" i="41"/>
  <c r="AL11" i="41" s="1"/>
  <c r="AM12" i="41"/>
  <c r="AM11" i="41" s="1"/>
  <c r="AN12" i="41"/>
  <c r="AN11" i="41" s="1"/>
  <c r="AO12" i="41"/>
  <c r="AO11" i="41" s="1"/>
  <c r="AP12" i="41"/>
  <c r="AP11" i="41" s="1"/>
  <c r="AQ12" i="41"/>
  <c r="AQ11" i="41" s="1"/>
  <c r="AR12" i="41"/>
  <c r="AR11" i="41" s="1"/>
  <c r="AS12" i="41"/>
  <c r="AS11" i="41" s="1"/>
  <c r="AT12" i="41"/>
  <c r="AT11" i="41" s="1"/>
  <c r="AU12" i="41"/>
  <c r="AU11" i="41" s="1"/>
  <c r="AV12" i="41"/>
  <c r="AV11" i="41" s="1"/>
  <c r="AW12" i="41"/>
  <c r="AW11" i="41" s="1"/>
  <c r="AX12" i="41"/>
  <c r="AX11" i="41" s="1"/>
  <c r="AY12" i="41"/>
  <c r="AY11" i="41" s="1"/>
  <c r="AZ12" i="41"/>
  <c r="AZ11" i="41" s="1"/>
  <c r="BA12" i="41"/>
  <c r="BA11" i="41" s="1"/>
  <c r="BB12" i="41"/>
  <c r="BB11" i="41" s="1"/>
  <c r="BC12" i="41"/>
  <c r="BC11" i="41" s="1"/>
  <c r="BD12" i="41"/>
  <c r="BD11" i="41" s="1"/>
  <c r="BE12" i="41"/>
  <c r="BE11" i="41" s="1"/>
  <c r="BF12" i="41"/>
  <c r="BF11" i="41" s="1"/>
  <c r="BL12" i="41"/>
  <c r="BM12" i="41"/>
  <c r="BN12" i="41"/>
  <c r="BN13" i="41" s="1"/>
  <c r="BO12" i="41"/>
  <c r="BO13" i="41" s="1"/>
  <c r="BP12" i="41"/>
  <c r="BP13" i="41" s="1"/>
  <c r="BQ12" i="41"/>
  <c r="BQ13" i="41" s="1"/>
  <c r="BR12" i="41"/>
  <c r="BR13" i="41" s="1"/>
  <c r="BS12" i="41"/>
  <c r="BS13" i="41" s="1"/>
  <c r="BT12" i="41"/>
  <c r="BU12" i="41"/>
  <c r="BV12" i="41"/>
  <c r="BV13" i="41" s="1"/>
  <c r="BW12" i="41"/>
  <c r="BX12" i="41"/>
  <c r="BY12" i="41"/>
  <c r="BY13" i="41" s="1"/>
  <c r="BZ12" i="41"/>
  <c r="BZ13" i="41" s="1"/>
  <c r="CA12" i="41"/>
  <c r="CA13" i="41" s="1"/>
  <c r="CB12" i="41"/>
  <c r="CC12" i="41"/>
  <c r="CD12" i="41"/>
  <c r="CD13" i="41" s="1"/>
  <c r="CE12" i="41"/>
  <c r="CE13" i="41" s="1"/>
  <c r="CF12" i="41"/>
  <c r="CF13" i="41" s="1"/>
  <c r="CG12" i="41"/>
  <c r="CG13" i="41" s="1"/>
  <c r="CH12" i="41"/>
  <c r="CH13" i="41" s="1"/>
  <c r="CI12" i="41"/>
  <c r="CI13" i="41" s="1"/>
  <c r="CJ12" i="41"/>
  <c r="CK12" i="41"/>
  <c r="CL12" i="41"/>
  <c r="CL13" i="41" s="1"/>
  <c r="CM12" i="41"/>
  <c r="CM13" i="41" s="1"/>
  <c r="CN12" i="41"/>
  <c r="CN13" i="41" s="1"/>
  <c r="CO12" i="41"/>
  <c r="CO13" i="41" s="1"/>
  <c r="BL13" i="41"/>
  <c r="BM13" i="41"/>
  <c r="BT13" i="41"/>
  <c r="BU13" i="41"/>
  <c r="BW13" i="41"/>
  <c r="BX13" i="41"/>
  <c r="CB13" i="41"/>
  <c r="CC13" i="41"/>
  <c r="CJ13" i="41"/>
  <c r="CK13" i="41"/>
  <c r="D15" i="41"/>
  <c r="E15" i="41" s="1"/>
  <c r="F15" i="41"/>
  <c r="G15" i="41"/>
  <c r="H15" i="41"/>
  <c r="I15" i="41"/>
  <c r="D16" i="41"/>
  <c r="E16" i="41" s="1"/>
  <c r="F16" i="41"/>
  <c r="G16" i="41"/>
  <c r="H16" i="41"/>
  <c r="I16" i="41"/>
  <c r="D17" i="41"/>
  <c r="E17" i="41"/>
  <c r="F17" i="41"/>
  <c r="G17" i="41"/>
  <c r="H17" i="41"/>
  <c r="I17" i="41"/>
  <c r="D18" i="41"/>
  <c r="E18" i="41" s="1"/>
  <c r="F18" i="41"/>
  <c r="G18" i="41"/>
  <c r="H18" i="41"/>
  <c r="I18" i="41"/>
  <c r="D19" i="41"/>
  <c r="E19" i="41" s="1"/>
  <c r="F19" i="41"/>
  <c r="G19" i="41"/>
  <c r="H19" i="41"/>
  <c r="I19" i="41"/>
  <c r="D20" i="41"/>
  <c r="E20" i="41" s="1"/>
  <c r="F20" i="41"/>
  <c r="G20" i="41"/>
  <c r="H20" i="41"/>
  <c r="I20" i="41"/>
  <c r="BW20" i="41"/>
  <c r="D21" i="41"/>
  <c r="E21" i="41" s="1"/>
  <c r="F21" i="41"/>
  <c r="G21" i="41"/>
  <c r="H21" i="41"/>
  <c r="I21" i="41"/>
  <c r="D22" i="41"/>
  <c r="E22" i="41" s="1"/>
  <c r="F22" i="41"/>
  <c r="G22" i="41"/>
  <c r="H22" i="41"/>
  <c r="I22" i="41"/>
  <c r="D23" i="41"/>
  <c r="E23" i="41" s="1"/>
  <c r="F23" i="41"/>
  <c r="G23" i="41"/>
  <c r="H23" i="41"/>
  <c r="I23" i="41"/>
  <c r="D24" i="41"/>
  <c r="E24" i="41" s="1"/>
  <c r="F24" i="41"/>
  <c r="G24" i="41"/>
  <c r="H24" i="41"/>
  <c r="I24" i="41"/>
  <c r="D25" i="41"/>
  <c r="E25" i="41" s="1"/>
  <c r="F25" i="41"/>
  <c r="G25" i="41"/>
  <c r="H25" i="41"/>
  <c r="I25" i="41"/>
  <c r="D26" i="41"/>
  <c r="E26" i="41" s="1"/>
  <c r="F26" i="41"/>
  <c r="G26" i="41"/>
  <c r="H26" i="41"/>
  <c r="I26" i="41"/>
  <c r="D27" i="41"/>
  <c r="E27" i="41" s="1"/>
  <c r="F27" i="41"/>
  <c r="G27" i="41"/>
  <c r="H27" i="41"/>
  <c r="I27" i="41"/>
  <c r="D28" i="41"/>
  <c r="E28" i="41" s="1"/>
  <c r="F28" i="41"/>
  <c r="G28" i="41"/>
  <c r="H28" i="41"/>
  <c r="I28" i="41"/>
  <c r="D29" i="41"/>
  <c r="E29" i="41" s="1"/>
  <c r="F29" i="41"/>
  <c r="G29" i="41"/>
  <c r="H29" i="41"/>
  <c r="I29" i="41"/>
  <c r="D30" i="41"/>
  <c r="E30" i="41" s="1"/>
  <c r="F30" i="41"/>
  <c r="G30" i="41"/>
  <c r="H30" i="41"/>
  <c r="I30" i="41"/>
  <c r="D31" i="41"/>
  <c r="E31" i="41" s="1"/>
  <c r="F31" i="41"/>
  <c r="G31" i="41"/>
  <c r="H31" i="41"/>
  <c r="I31" i="41"/>
  <c r="D32" i="41"/>
  <c r="E32" i="41" s="1"/>
  <c r="F32" i="41"/>
  <c r="G32" i="41"/>
  <c r="H32" i="41"/>
  <c r="I32" i="41"/>
  <c r="D33" i="41"/>
  <c r="E33" i="41" s="1"/>
  <c r="F33" i="41"/>
  <c r="G33" i="41"/>
  <c r="H33" i="41"/>
  <c r="I33" i="41"/>
  <c r="D34" i="41"/>
  <c r="E34" i="41" s="1"/>
  <c r="F34" i="41"/>
  <c r="G34" i="41"/>
  <c r="H34" i="41"/>
  <c r="I34" i="41"/>
  <c r="D35" i="41"/>
  <c r="E35" i="41"/>
  <c r="F35" i="41"/>
  <c r="G35" i="41"/>
  <c r="H35" i="41"/>
  <c r="I35" i="41"/>
  <c r="D36" i="41"/>
  <c r="E36" i="41" s="1"/>
  <c r="F36" i="41"/>
  <c r="G36" i="41"/>
  <c r="H36" i="41"/>
  <c r="I36" i="41"/>
  <c r="D37" i="41"/>
  <c r="E37" i="41" s="1"/>
  <c r="F37" i="41"/>
  <c r="G37" i="41"/>
  <c r="H37" i="41"/>
  <c r="I37" i="41"/>
  <c r="D38" i="41"/>
  <c r="E38" i="41" s="1"/>
  <c r="F38" i="41"/>
  <c r="G38" i="41"/>
  <c r="H38" i="41"/>
  <c r="I38" i="41"/>
  <c r="D39" i="41"/>
  <c r="E39" i="41" s="1"/>
  <c r="F39" i="41"/>
  <c r="G39" i="41"/>
  <c r="H39" i="41"/>
  <c r="I39" i="41"/>
  <c r="D40" i="41"/>
  <c r="E40" i="41" s="1"/>
  <c r="F40" i="41"/>
  <c r="G40" i="41"/>
  <c r="H40" i="41"/>
  <c r="I40" i="41"/>
  <c r="D41" i="41"/>
  <c r="E41" i="41"/>
  <c r="F41" i="41"/>
  <c r="G41" i="41"/>
  <c r="H41" i="41"/>
  <c r="I41" i="41"/>
  <c r="D42" i="41"/>
  <c r="E42" i="41" s="1"/>
  <c r="F42" i="41"/>
  <c r="G42" i="41"/>
  <c r="H42" i="41"/>
  <c r="I42" i="41"/>
  <c r="D43" i="41"/>
  <c r="E43" i="41" s="1"/>
  <c r="F43" i="41"/>
  <c r="G43" i="41"/>
  <c r="H43" i="41"/>
  <c r="I43" i="41"/>
  <c r="D44" i="41"/>
  <c r="E44" i="41" s="1"/>
  <c r="F44" i="41"/>
  <c r="G44" i="41"/>
  <c r="H44" i="41"/>
  <c r="I44" i="41"/>
  <c r="D45" i="41"/>
  <c r="E45" i="41"/>
  <c r="F45" i="41"/>
  <c r="G45" i="41"/>
  <c r="H45" i="41"/>
  <c r="I45" i="41"/>
  <c r="D46" i="41"/>
  <c r="E46" i="41" s="1"/>
  <c r="F46" i="41"/>
  <c r="G46" i="41"/>
  <c r="H46" i="41"/>
  <c r="I46" i="41"/>
  <c r="D47" i="41"/>
  <c r="E47" i="41" s="1"/>
  <c r="F47" i="41"/>
  <c r="G47" i="41"/>
  <c r="H47" i="41"/>
  <c r="I47" i="41"/>
  <c r="D48" i="41"/>
  <c r="E48" i="41" s="1"/>
  <c r="F48" i="41"/>
  <c r="G48" i="41"/>
  <c r="H48" i="41"/>
  <c r="I48" i="41"/>
  <c r="D49" i="41"/>
  <c r="E49" i="41"/>
  <c r="F49" i="41"/>
  <c r="G49" i="41"/>
  <c r="H49" i="41"/>
  <c r="I49" i="41"/>
  <c r="D50" i="41"/>
  <c r="E50" i="41" s="1"/>
  <c r="F50" i="41"/>
  <c r="G50" i="41"/>
  <c r="H50" i="41"/>
  <c r="I50" i="41"/>
  <c r="BP50" i="41"/>
  <c r="D51" i="41"/>
  <c r="E51" i="41" s="1"/>
  <c r="F51" i="41"/>
  <c r="G51" i="41"/>
  <c r="H51" i="41"/>
  <c r="I51" i="41"/>
  <c r="D52" i="41"/>
  <c r="E52" i="41" s="1"/>
  <c r="F52" i="41"/>
  <c r="G52" i="41"/>
  <c r="H52" i="41"/>
  <c r="I52" i="41"/>
  <c r="D53" i="41"/>
  <c r="E53" i="41" s="1"/>
  <c r="F53" i="41"/>
  <c r="G53" i="41"/>
  <c r="H53" i="41"/>
  <c r="I53" i="41"/>
  <c r="D54" i="41"/>
  <c r="E54" i="41" s="1"/>
  <c r="F54" i="41"/>
  <c r="G54" i="41"/>
  <c r="H54" i="41"/>
  <c r="I54" i="41"/>
  <c r="D55" i="41"/>
  <c r="E55" i="41" s="1"/>
  <c r="F55" i="41"/>
  <c r="G55" i="41"/>
  <c r="H55" i="41"/>
  <c r="I55" i="41"/>
  <c r="D56" i="41"/>
  <c r="E56" i="41" s="1"/>
  <c r="F56" i="41"/>
  <c r="G56" i="41"/>
  <c r="H56" i="41"/>
  <c r="I56" i="41"/>
  <c r="D57" i="41"/>
  <c r="E57" i="41" s="1"/>
  <c r="F57" i="41"/>
  <c r="G57" i="41"/>
  <c r="H57" i="41"/>
  <c r="I57" i="41"/>
  <c r="D58" i="41"/>
  <c r="E58" i="41" s="1"/>
  <c r="F58" i="41"/>
  <c r="G58" i="41"/>
  <c r="H58" i="41"/>
  <c r="I58" i="41"/>
  <c r="D59" i="41"/>
  <c r="E59" i="41" s="1"/>
  <c r="F59" i="41"/>
  <c r="G59" i="41"/>
  <c r="H59" i="41"/>
  <c r="I59" i="41"/>
  <c r="D60" i="41"/>
  <c r="E60" i="41" s="1"/>
  <c r="F60" i="41"/>
  <c r="G60" i="41"/>
  <c r="H60" i="41"/>
  <c r="I60" i="41"/>
  <c r="D61" i="41"/>
  <c r="E61" i="41" s="1"/>
  <c r="F61" i="41"/>
  <c r="G61" i="41"/>
  <c r="H61" i="41"/>
  <c r="I61" i="41"/>
  <c r="D62" i="41"/>
  <c r="E62" i="41" s="1"/>
  <c r="F62" i="41"/>
  <c r="G62" i="41"/>
  <c r="H62" i="41"/>
  <c r="I62" i="41"/>
  <c r="D63" i="41"/>
  <c r="E63" i="41" s="1"/>
  <c r="F63" i="41"/>
  <c r="G63" i="41"/>
  <c r="H63" i="41"/>
  <c r="I63" i="41"/>
  <c r="D64" i="41"/>
  <c r="E64" i="41" s="1"/>
  <c r="F64" i="41"/>
  <c r="G64" i="41"/>
  <c r="H64" i="41"/>
  <c r="I64" i="41"/>
  <c r="D65" i="41"/>
  <c r="E65" i="41" s="1"/>
  <c r="F65" i="41"/>
  <c r="G65" i="41"/>
  <c r="H65" i="41"/>
  <c r="I65" i="41"/>
  <c r="D66" i="41"/>
  <c r="E66" i="41" s="1"/>
  <c r="F66" i="41"/>
  <c r="G66" i="41"/>
  <c r="H66" i="41"/>
  <c r="I66" i="41"/>
  <c r="D67" i="41"/>
  <c r="E67" i="41" s="1"/>
  <c r="F67" i="41"/>
  <c r="G67" i="41"/>
  <c r="H67" i="41"/>
  <c r="I67" i="41"/>
  <c r="D68" i="41"/>
  <c r="E68" i="41" s="1"/>
  <c r="F68" i="41"/>
  <c r="G68" i="41"/>
  <c r="H68" i="41"/>
  <c r="I68" i="41"/>
  <c r="D69" i="41"/>
  <c r="E69" i="41" s="1"/>
  <c r="F69" i="41"/>
  <c r="G69" i="41"/>
  <c r="H69" i="41"/>
  <c r="I69" i="41"/>
  <c r="D70" i="41"/>
  <c r="E70" i="41" s="1"/>
  <c r="F70" i="41"/>
  <c r="G70" i="41"/>
  <c r="H70" i="41"/>
  <c r="I70" i="41"/>
  <c r="D71" i="41"/>
  <c r="E71" i="41" s="1"/>
  <c r="F71" i="41"/>
  <c r="G71" i="41"/>
  <c r="H71" i="41"/>
  <c r="I71" i="41"/>
  <c r="D72" i="41"/>
  <c r="E72" i="41" s="1"/>
  <c r="F72" i="41"/>
  <c r="G72" i="41"/>
  <c r="H72" i="41"/>
  <c r="I72" i="41"/>
  <c r="D73" i="41"/>
  <c r="E73" i="41" s="1"/>
  <c r="F73" i="41"/>
  <c r="G73" i="41"/>
  <c r="H73" i="41"/>
  <c r="I73" i="41"/>
  <c r="D74" i="41"/>
  <c r="E74" i="41" s="1"/>
  <c r="F74" i="41"/>
  <c r="G74" i="41"/>
  <c r="H74" i="41"/>
  <c r="I74" i="41"/>
  <c r="D75" i="41"/>
  <c r="E75" i="41" s="1"/>
  <c r="F75" i="41"/>
  <c r="G75" i="41"/>
  <c r="H75" i="41"/>
  <c r="I75" i="41"/>
  <c r="D76" i="41"/>
  <c r="E76" i="41" s="1"/>
  <c r="F76" i="41"/>
  <c r="G76" i="41"/>
  <c r="H76" i="41"/>
  <c r="I76" i="41"/>
  <c r="D77" i="41"/>
  <c r="E77" i="41" s="1"/>
  <c r="F77" i="41"/>
  <c r="G77" i="41"/>
  <c r="H77" i="41"/>
  <c r="I77" i="41"/>
  <c r="D78" i="41"/>
  <c r="E78" i="41" s="1"/>
  <c r="F78" i="41"/>
  <c r="G78" i="41"/>
  <c r="H78" i="41"/>
  <c r="I78" i="41"/>
  <c r="D79" i="41"/>
  <c r="E79" i="41" s="1"/>
  <c r="F79" i="41"/>
  <c r="G79" i="41"/>
  <c r="H79" i="41"/>
  <c r="I79" i="41"/>
  <c r="D80" i="41"/>
  <c r="E80" i="41" s="1"/>
  <c r="F80" i="41"/>
  <c r="G80" i="41"/>
  <c r="H80" i="41"/>
  <c r="I80" i="41"/>
  <c r="D81" i="41"/>
  <c r="E81" i="41" s="1"/>
  <c r="F81" i="41"/>
  <c r="G81" i="41"/>
  <c r="H81" i="41"/>
  <c r="I81" i="41"/>
  <c r="D82" i="41"/>
  <c r="E82" i="41" s="1"/>
  <c r="F82" i="41"/>
  <c r="G82" i="41"/>
  <c r="H82" i="41"/>
  <c r="I82" i="41"/>
  <c r="D83" i="41"/>
  <c r="E83" i="41" s="1"/>
  <c r="F83" i="41"/>
  <c r="G83" i="41"/>
  <c r="H83" i="41"/>
  <c r="I83" i="41"/>
  <c r="D84" i="41"/>
  <c r="E84" i="41" s="1"/>
  <c r="F84" i="41"/>
  <c r="G84" i="41"/>
  <c r="H84" i="41"/>
  <c r="I84" i="41"/>
  <c r="D85" i="41"/>
  <c r="E85" i="41"/>
  <c r="F85" i="41"/>
  <c r="G85" i="41"/>
  <c r="H85" i="41"/>
  <c r="I85" i="41"/>
  <c r="D86" i="41"/>
  <c r="E86" i="41" s="1"/>
  <c r="F86" i="41"/>
  <c r="G86" i="41"/>
  <c r="H86" i="41"/>
  <c r="I86" i="41"/>
  <c r="D87" i="41"/>
  <c r="E87" i="41" s="1"/>
  <c r="F87" i="41"/>
  <c r="G87" i="41"/>
  <c r="H87" i="41"/>
  <c r="I87" i="41"/>
  <c r="D88" i="41"/>
  <c r="E88" i="41" s="1"/>
  <c r="F88" i="41"/>
  <c r="G88" i="41"/>
  <c r="H88" i="41"/>
  <c r="I88" i="41"/>
  <c r="D89" i="41"/>
  <c r="E89" i="41" s="1"/>
  <c r="F89" i="41"/>
  <c r="G89" i="41"/>
  <c r="H89" i="41"/>
  <c r="I89" i="41"/>
  <c r="D90" i="41"/>
  <c r="E90" i="41" s="1"/>
  <c r="F90" i="41"/>
  <c r="G90" i="41"/>
  <c r="H90" i="41"/>
  <c r="I90" i="41"/>
  <c r="D91" i="41"/>
  <c r="E91" i="41" s="1"/>
  <c r="F91" i="41"/>
  <c r="G91" i="41"/>
  <c r="H91" i="41"/>
  <c r="I91" i="41"/>
  <c r="D92" i="41"/>
  <c r="E92" i="41"/>
  <c r="F92" i="41"/>
  <c r="G92" i="41"/>
  <c r="H92" i="41"/>
  <c r="I92" i="41"/>
  <c r="D93" i="41"/>
  <c r="E93" i="41" s="1"/>
  <c r="F93" i="41"/>
  <c r="G93" i="41"/>
  <c r="H93" i="41"/>
  <c r="I93" i="41"/>
  <c r="D94" i="41"/>
  <c r="E94" i="41"/>
  <c r="F94" i="41"/>
  <c r="D95" i="41"/>
  <c r="E95" i="41" s="1"/>
  <c r="F95" i="41"/>
  <c r="AC95" i="41"/>
  <c r="AD95" i="41"/>
  <c r="AE95" i="41"/>
  <c r="AF95" i="41"/>
  <c r="AG95" i="41"/>
  <c r="AH95" i="41"/>
  <c r="AI95" i="41"/>
  <c r="AJ95" i="41"/>
  <c r="AK95" i="41"/>
  <c r="AL95" i="41"/>
  <c r="AM95" i="41"/>
  <c r="AN95" i="41"/>
  <c r="AO95" i="41"/>
  <c r="AP95" i="41"/>
  <c r="AQ95" i="41"/>
  <c r="AR95" i="41"/>
  <c r="AS95" i="41"/>
  <c r="AT95" i="41"/>
  <c r="AU95" i="41"/>
  <c r="AV95" i="41"/>
  <c r="AW95" i="41"/>
  <c r="AX95" i="41"/>
  <c r="AY95" i="41"/>
  <c r="AZ95" i="41"/>
  <c r="BA95" i="41"/>
  <c r="BB95" i="41"/>
  <c r="BC95" i="41"/>
  <c r="BD95" i="41"/>
  <c r="BE95" i="41"/>
  <c r="BF95" i="41"/>
  <c r="D96" i="41"/>
  <c r="E96" i="41" s="1"/>
  <c r="F96" i="41"/>
  <c r="D97" i="41"/>
  <c r="E97" i="41" s="1"/>
  <c r="F97" i="41"/>
  <c r="D98" i="41"/>
  <c r="E98" i="41" s="1"/>
  <c r="F98" i="41"/>
  <c r="D99" i="41"/>
  <c r="E99" i="41" s="1"/>
  <c r="F99" i="41"/>
  <c r="BL99" i="41"/>
  <c r="BM99" i="41"/>
  <c r="BN99" i="41"/>
  <c r="BO99" i="41"/>
  <c r="BP99" i="41"/>
  <c r="BQ99" i="41"/>
  <c r="BR99" i="41"/>
  <c r="BS99" i="41"/>
  <c r="BT99" i="41"/>
  <c r="BU99" i="41"/>
  <c r="BV99" i="41"/>
  <c r="BW99" i="41"/>
  <c r="BX99" i="41"/>
  <c r="BY99" i="41"/>
  <c r="BZ99" i="41"/>
  <c r="CA99" i="41"/>
  <c r="CB99" i="41"/>
  <c r="CC99" i="41"/>
  <c r="CD99" i="41"/>
  <c r="CE99" i="41"/>
  <c r="CF99" i="41"/>
  <c r="CG99" i="41"/>
  <c r="CH99" i="41"/>
  <c r="CI99" i="41"/>
  <c r="CJ99" i="41"/>
  <c r="CK99" i="41"/>
  <c r="CL99" i="41"/>
  <c r="CM99" i="41"/>
  <c r="CN99" i="41"/>
  <c r="CO99" i="41"/>
  <c r="D100" i="41"/>
  <c r="E100" i="41" s="1"/>
  <c r="F100" i="41"/>
  <c r="D101" i="41"/>
  <c r="E101" i="41" s="1"/>
  <c r="F101" i="41"/>
  <c r="D102" i="41"/>
  <c r="E102" i="41" s="1"/>
  <c r="F102" i="41"/>
  <c r="D103" i="41"/>
  <c r="E103" i="41" s="1"/>
  <c r="F103" i="41"/>
  <c r="D104" i="41"/>
  <c r="E104" i="41" s="1"/>
  <c r="F104" i="41"/>
  <c r="D105" i="41"/>
  <c r="E105" i="41" s="1"/>
  <c r="F105" i="41"/>
  <c r="D106" i="41"/>
  <c r="E106" i="41" s="1"/>
  <c r="F106" i="41"/>
  <c r="D107" i="41"/>
  <c r="E107" i="41" s="1"/>
  <c r="F107" i="41"/>
  <c r="D108" i="41"/>
  <c r="E108" i="41" s="1"/>
  <c r="F108" i="41"/>
  <c r="D109" i="41"/>
  <c r="E109" i="41" s="1"/>
  <c r="F109" i="41"/>
  <c r="D110" i="41"/>
  <c r="E110" i="41"/>
  <c r="F110" i="41"/>
  <c r="D111" i="41"/>
  <c r="E111" i="41" s="1"/>
  <c r="F111" i="41"/>
  <c r="D112" i="41"/>
  <c r="E112" i="41" s="1"/>
  <c r="F112" i="41"/>
  <c r="D113" i="41"/>
  <c r="E113" i="41" s="1"/>
  <c r="F113" i="41"/>
  <c r="D114" i="41"/>
  <c r="E114" i="41" s="1"/>
  <c r="F114" i="41"/>
  <c r="D115" i="41"/>
  <c r="E115" i="41" s="1"/>
  <c r="F115" i="41"/>
  <c r="D116" i="41"/>
  <c r="E116" i="41" s="1"/>
  <c r="F116" i="41"/>
  <c r="D117" i="41"/>
  <c r="E117" i="41" s="1"/>
  <c r="F117" i="41"/>
  <c r="D118" i="41"/>
  <c r="E118" i="41" s="1"/>
  <c r="F118" i="41"/>
  <c r="D119" i="41"/>
  <c r="E119" i="41" s="1"/>
  <c r="F119" i="41"/>
  <c r="D120" i="41"/>
  <c r="E120" i="41" s="1"/>
  <c r="F120" i="41"/>
  <c r="D121" i="41"/>
  <c r="E121" i="41"/>
  <c r="F121" i="41"/>
  <c r="D122" i="41"/>
  <c r="E122" i="41" s="1"/>
  <c r="F122" i="41"/>
  <c r="D123" i="41"/>
  <c r="E123" i="41" s="1"/>
  <c r="F123" i="41"/>
  <c r="D124" i="41"/>
  <c r="E124" i="41" s="1"/>
  <c r="F124" i="41"/>
  <c r="D125" i="41"/>
  <c r="E125" i="41" s="1"/>
  <c r="F125" i="41"/>
  <c r="D126" i="41"/>
  <c r="E126" i="41"/>
  <c r="F126" i="41"/>
  <c r="D127" i="41"/>
  <c r="E127" i="41" s="1"/>
  <c r="F127" i="41"/>
  <c r="D128" i="41"/>
  <c r="E128" i="41" s="1"/>
  <c r="F128" i="41"/>
  <c r="D129" i="41"/>
  <c r="E129" i="41" s="1"/>
  <c r="F129" i="41"/>
  <c r="D130" i="41"/>
  <c r="E130" i="41" s="1"/>
  <c r="F130" i="41"/>
  <c r="D131" i="41"/>
  <c r="E131" i="41" s="1"/>
  <c r="F131" i="41"/>
  <c r="D132" i="41"/>
  <c r="E132" i="41" s="1"/>
  <c r="F132" i="41"/>
  <c r="D133" i="41"/>
  <c r="E133" i="41" s="1"/>
  <c r="F133" i="41"/>
  <c r="D134" i="41"/>
  <c r="E134" i="41" s="1"/>
  <c r="F134" i="41"/>
  <c r="D135" i="41"/>
  <c r="E135" i="41" s="1"/>
  <c r="F135" i="41"/>
  <c r="D136" i="41"/>
  <c r="E136" i="41" s="1"/>
  <c r="F136" i="41"/>
  <c r="D137" i="41"/>
  <c r="E137" i="41" s="1"/>
  <c r="F137" i="41"/>
  <c r="D138" i="41"/>
  <c r="E138" i="41" s="1"/>
  <c r="F138" i="41"/>
  <c r="D139" i="41"/>
  <c r="E139" i="41" s="1"/>
  <c r="F139" i="41"/>
  <c r="D140" i="41"/>
  <c r="E140" i="41" s="1"/>
  <c r="F140" i="41"/>
  <c r="D141" i="41"/>
  <c r="E141" i="41" s="1"/>
  <c r="F141" i="41"/>
  <c r="D142" i="41"/>
  <c r="E142" i="41"/>
  <c r="F142" i="41"/>
  <c r="D143" i="41"/>
  <c r="E143" i="41" s="1"/>
  <c r="F143" i="41"/>
  <c r="D144" i="41"/>
  <c r="E144" i="41" s="1"/>
  <c r="F144" i="41"/>
  <c r="D145" i="41"/>
  <c r="E145" i="41"/>
  <c r="F145" i="41"/>
  <c r="D146" i="41"/>
  <c r="E146" i="41" s="1"/>
  <c r="F146" i="41"/>
  <c r="D147" i="41"/>
  <c r="E147" i="41" s="1"/>
  <c r="F147" i="41"/>
  <c r="D148" i="41"/>
  <c r="E148" i="41" s="1"/>
  <c r="F148" i="41"/>
  <c r="D149" i="41"/>
  <c r="E149" i="41" s="1"/>
  <c r="F149" i="41"/>
  <c r="D150" i="41"/>
  <c r="E150" i="41"/>
  <c r="F150" i="41"/>
  <c r="D151" i="41"/>
  <c r="E151" i="41" s="1"/>
  <c r="F151" i="41"/>
  <c r="D152" i="41"/>
  <c r="E152" i="41"/>
  <c r="F152" i="41"/>
  <c r="D153" i="41"/>
  <c r="E153" i="41"/>
  <c r="F153" i="41"/>
  <c r="D154" i="41"/>
  <c r="E154" i="41" s="1"/>
  <c r="F154" i="41"/>
  <c r="D155" i="41"/>
  <c r="E155" i="41" s="1"/>
  <c r="F155" i="41"/>
  <c r="D156" i="41"/>
  <c r="E156" i="41" s="1"/>
  <c r="F156" i="41"/>
  <c r="D157" i="41"/>
  <c r="E157" i="41" s="1"/>
  <c r="F157" i="41"/>
  <c r="D158" i="41"/>
  <c r="E158" i="41"/>
  <c r="F158" i="41"/>
  <c r="D159" i="41"/>
  <c r="E159" i="41" s="1"/>
  <c r="F159" i="41"/>
  <c r="D160" i="41"/>
  <c r="E160" i="41"/>
  <c r="F160" i="41"/>
  <c r="D161" i="41"/>
  <c r="E161" i="41"/>
  <c r="F161" i="41"/>
  <c r="D162" i="41"/>
  <c r="E162" i="41" s="1"/>
  <c r="F162" i="41"/>
  <c r="D163" i="41"/>
  <c r="E163" i="41" s="1"/>
  <c r="F163" i="41"/>
  <c r="D164" i="41"/>
  <c r="E164" i="41" s="1"/>
  <c r="F164" i="41"/>
  <c r="D165" i="41"/>
  <c r="E165" i="41" s="1"/>
  <c r="F165" i="41"/>
  <c r="D166" i="41"/>
  <c r="E166" i="41" s="1"/>
  <c r="F166" i="41"/>
  <c r="D167" i="41"/>
  <c r="E167" i="41" s="1"/>
  <c r="F167" i="41"/>
  <c r="D168" i="41"/>
  <c r="E168" i="41"/>
  <c r="F168" i="41"/>
  <c r="D169" i="41"/>
  <c r="E169" i="41" s="1"/>
  <c r="F169" i="41"/>
  <c r="D170" i="41"/>
  <c r="E170" i="41" s="1"/>
  <c r="F170" i="41"/>
  <c r="D171" i="41"/>
  <c r="E171" i="41" s="1"/>
  <c r="F171" i="41"/>
  <c r="D172" i="41"/>
  <c r="E172" i="41" s="1"/>
  <c r="F172" i="41"/>
  <c r="D173" i="41"/>
  <c r="E173" i="41" s="1"/>
  <c r="F173" i="41"/>
  <c r="D174" i="41"/>
  <c r="E174" i="41" s="1"/>
  <c r="F174" i="41"/>
  <c r="D175" i="41"/>
  <c r="E175" i="41" s="1"/>
  <c r="F175" i="41"/>
  <c r="D176" i="41"/>
  <c r="E176" i="41" s="1"/>
  <c r="F176" i="41"/>
  <c r="D177" i="41"/>
  <c r="E177" i="41" s="1"/>
  <c r="F177" i="41"/>
  <c r="D178" i="41"/>
  <c r="E178" i="41" s="1"/>
  <c r="F178" i="41"/>
  <c r="D179" i="41"/>
  <c r="E179" i="41" s="1"/>
  <c r="F179" i="41"/>
  <c r="D180" i="41"/>
  <c r="E180" i="41" s="1"/>
  <c r="F180" i="41"/>
  <c r="D181" i="41"/>
  <c r="E181" i="41" s="1"/>
  <c r="F181" i="41"/>
  <c r="D182" i="41"/>
  <c r="E182" i="41"/>
  <c r="F182" i="41"/>
  <c r="D183" i="41"/>
  <c r="E183" i="41" s="1"/>
  <c r="F183" i="41"/>
  <c r="D184" i="41"/>
  <c r="E184" i="41" s="1"/>
  <c r="F184" i="41"/>
  <c r="D185" i="41"/>
  <c r="E185" i="41"/>
  <c r="F185" i="41"/>
  <c r="D186" i="41"/>
  <c r="E186" i="41" s="1"/>
  <c r="F186" i="41"/>
  <c r="D187" i="41"/>
  <c r="E187" i="41" s="1"/>
  <c r="F187" i="41"/>
  <c r="D188" i="41"/>
  <c r="E188" i="41" s="1"/>
  <c r="F188" i="41"/>
  <c r="D189" i="41"/>
  <c r="E189" i="41" s="1"/>
  <c r="F189" i="41"/>
  <c r="D190" i="41"/>
  <c r="E190" i="41" s="1"/>
  <c r="F190" i="41"/>
  <c r="D191" i="41"/>
  <c r="E191" i="41" s="1"/>
  <c r="F191" i="41"/>
  <c r="D192" i="41"/>
  <c r="E192" i="41"/>
  <c r="F192" i="41"/>
  <c r="D193" i="41"/>
  <c r="E193" i="41" s="1"/>
  <c r="F193" i="41"/>
  <c r="D194" i="41"/>
  <c r="E194" i="41" s="1"/>
  <c r="F194" i="41"/>
  <c r="D195" i="41"/>
  <c r="E195" i="41" s="1"/>
  <c r="F195" i="41"/>
  <c r="D196" i="41"/>
  <c r="E196" i="41" s="1"/>
  <c r="F196" i="41"/>
  <c r="D197" i="41"/>
  <c r="E197" i="41" s="1"/>
  <c r="F197" i="41"/>
  <c r="D198" i="41"/>
  <c r="E198" i="41" s="1"/>
  <c r="F198" i="41"/>
  <c r="D199" i="41"/>
  <c r="E199" i="41" s="1"/>
  <c r="F199" i="41"/>
  <c r="D200" i="41"/>
  <c r="E200" i="41" s="1"/>
  <c r="F200" i="41"/>
  <c r="D201" i="41"/>
  <c r="E201" i="41" s="1"/>
  <c r="F201" i="41"/>
  <c r="D202" i="41"/>
  <c r="E202" i="41" s="1"/>
  <c r="F202" i="41"/>
  <c r="D203" i="41"/>
  <c r="E203" i="41" s="1"/>
  <c r="F203" i="41"/>
  <c r="D204" i="41"/>
  <c r="E204" i="41" s="1"/>
  <c r="F204" i="41"/>
  <c r="D205" i="41"/>
  <c r="E205" i="41" s="1"/>
  <c r="F205" i="41"/>
  <c r="D206" i="41"/>
  <c r="E206" i="41"/>
  <c r="F206" i="41"/>
  <c r="D207" i="41"/>
  <c r="E207" i="41" s="1"/>
  <c r="F207" i="41"/>
  <c r="D208" i="41"/>
  <c r="E208" i="41" s="1"/>
  <c r="F208" i="41"/>
  <c r="D209" i="41"/>
  <c r="E209" i="41"/>
  <c r="F209" i="41"/>
  <c r="D210" i="41"/>
  <c r="E210" i="41" s="1"/>
  <c r="F210" i="41"/>
  <c r="D211" i="41"/>
  <c r="E211" i="41" s="1"/>
  <c r="F211" i="41"/>
  <c r="D212" i="41"/>
  <c r="E212" i="41" s="1"/>
  <c r="F212" i="41"/>
  <c r="D213" i="41"/>
  <c r="E213" i="41" s="1"/>
  <c r="F213" i="41"/>
  <c r="D214" i="41"/>
  <c r="E214" i="41"/>
  <c r="F214" i="41"/>
  <c r="D215" i="41"/>
  <c r="E215" i="41" s="1"/>
  <c r="F215" i="41"/>
  <c r="D216" i="41"/>
  <c r="E216" i="41"/>
  <c r="F216" i="41"/>
  <c r="D217" i="41"/>
  <c r="E217" i="41"/>
  <c r="F217" i="41"/>
  <c r="D218" i="41"/>
  <c r="E218" i="41" s="1"/>
  <c r="F218" i="41"/>
  <c r="D219" i="41"/>
  <c r="E219" i="41" s="1"/>
  <c r="F219" i="41"/>
  <c r="D220" i="41"/>
  <c r="E220" i="41" s="1"/>
  <c r="F220" i="41"/>
  <c r="D221" i="41"/>
  <c r="E221" i="41" s="1"/>
  <c r="F221" i="41"/>
  <c r="D222" i="41"/>
  <c r="E222" i="41"/>
  <c r="F222" i="41"/>
  <c r="D223" i="41"/>
  <c r="E223" i="41" s="1"/>
  <c r="F223" i="41"/>
  <c r="D224" i="41"/>
  <c r="E224" i="41"/>
  <c r="F224" i="41"/>
  <c r="D225" i="41"/>
  <c r="E225" i="41"/>
  <c r="F225" i="41"/>
  <c r="D226" i="41"/>
  <c r="E226" i="41" s="1"/>
  <c r="F226" i="41"/>
  <c r="D227" i="41"/>
  <c r="E227" i="41" s="1"/>
  <c r="F227" i="41"/>
  <c r="D228" i="41"/>
  <c r="E228" i="41" s="1"/>
  <c r="F228" i="41"/>
  <c r="D229" i="41"/>
  <c r="E229" i="41" s="1"/>
  <c r="F229" i="41"/>
  <c r="D230" i="41"/>
  <c r="E230" i="41" s="1"/>
  <c r="F230" i="41"/>
  <c r="D231" i="41"/>
  <c r="E231" i="41" s="1"/>
  <c r="F231" i="41"/>
  <c r="D232" i="41"/>
  <c r="E232" i="41"/>
  <c r="F232" i="41"/>
  <c r="D233" i="41"/>
  <c r="E233" i="41" s="1"/>
  <c r="F233" i="41"/>
  <c r="D234" i="41"/>
  <c r="E234" i="41" s="1"/>
  <c r="F234" i="41"/>
  <c r="D235" i="41"/>
  <c r="E235" i="41" s="1"/>
  <c r="F235" i="41"/>
  <c r="D236" i="41"/>
  <c r="E236" i="41" s="1"/>
  <c r="F236" i="41"/>
  <c r="D237" i="41"/>
  <c r="E237" i="41" s="1"/>
  <c r="F237" i="41"/>
  <c r="D238" i="41"/>
  <c r="E238" i="41" s="1"/>
  <c r="F238" i="41"/>
  <c r="D239" i="41"/>
  <c r="E239" i="41" s="1"/>
  <c r="F239" i="41"/>
  <c r="D240" i="41"/>
  <c r="E240" i="41" s="1"/>
  <c r="F240" i="41"/>
  <c r="D241" i="41"/>
  <c r="E241" i="41" s="1"/>
  <c r="F241" i="41"/>
  <c r="D242" i="41"/>
  <c r="E242" i="41" s="1"/>
  <c r="F242" i="41"/>
  <c r="D243" i="41"/>
  <c r="E243" i="41" s="1"/>
  <c r="F243" i="41"/>
  <c r="D244" i="41"/>
  <c r="E244" i="41" s="1"/>
  <c r="F244" i="41"/>
  <c r="D245" i="41"/>
  <c r="E245" i="41" s="1"/>
  <c r="F245" i="41"/>
  <c r="D246" i="41"/>
  <c r="E246" i="41"/>
  <c r="F246" i="41"/>
  <c r="D247" i="41"/>
  <c r="E247" i="41" s="1"/>
  <c r="F247" i="41"/>
  <c r="D248" i="41"/>
  <c r="E248" i="41" s="1"/>
  <c r="F248" i="41"/>
  <c r="D249" i="41"/>
  <c r="E249" i="41"/>
  <c r="F249" i="41"/>
  <c r="D250" i="41"/>
  <c r="E250" i="41" s="1"/>
  <c r="F250" i="41"/>
  <c r="D251" i="41"/>
  <c r="E251" i="41" s="1"/>
  <c r="F251" i="41"/>
  <c r="D252" i="41"/>
  <c r="E252" i="41" s="1"/>
  <c r="F252" i="41"/>
  <c r="D253" i="41"/>
  <c r="E253" i="41" s="1"/>
  <c r="F253" i="41"/>
  <c r="D254" i="41"/>
  <c r="E254" i="41" s="1"/>
  <c r="F254" i="41"/>
  <c r="D255" i="41"/>
  <c r="E255" i="41" s="1"/>
  <c r="F255" i="41"/>
  <c r="D256" i="41"/>
  <c r="E256" i="41"/>
  <c r="F256" i="41"/>
  <c r="D257" i="41"/>
  <c r="E257" i="41" s="1"/>
  <c r="F257" i="41"/>
  <c r="D258" i="41"/>
  <c r="E258" i="41" s="1"/>
  <c r="F258" i="41"/>
  <c r="D259" i="41"/>
  <c r="E259" i="41" s="1"/>
  <c r="F259" i="41"/>
  <c r="D260" i="41"/>
  <c r="E260" i="41" s="1"/>
  <c r="F260" i="41"/>
  <c r="D261" i="41"/>
  <c r="E261" i="41" s="1"/>
  <c r="F261" i="41"/>
  <c r="D262" i="41"/>
  <c r="E262" i="41" s="1"/>
  <c r="F262" i="41"/>
  <c r="D263" i="41"/>
  <c r="E263" i="41" s="1"/>
  <c r="F263" i="41"/>
  <c r="D264" i="41"/>
  <c r="E264" i="41" s="1"/>
  <c r="F264" i="41"/>
  <c r="D265" i="41"/>
  <c r="E265" i="41" s="1"/>
  <c r="F265" i="41"/>
  <c r="D266" i="41"/>
  <c r="E266" i="41" s="1"/>
  <c r="F266" i="41"/>
  <c r="D267" i="41"/>
  <c r="E267" i="41" s="1"/>
  <c r="F267" i="41"/>
  <c r="D268" i="41"/>
  <c r="E268" i="41" s="1"/>
  <c r="F268" i="41"/>
  <c r="D269" i="41"/>
  <c r="E269" i="41" s="1"/>
  <c r="F269" i="41"/>
  <c r="D270" i="41"/>
  <c r="E270" i="41"/>
  <c r="F270" i="41"/>
  <c r="D271" i="41"/>
  <c r="E271" i="41" s="1"/>
  <c r="F271" i="41"/>
  <c r="D272" i="41"/>
  <c r="E272" i="41" s="1"/>
  <c r="F272" i="41"/>
  <c r="D273" i="41"/>
  <c r="E273" i="41"/>
  <c r="F273" i="41"/>
  <c r="D274" i="41"/>
  <c r="E274" i="41" s="1"/>
  <c r="F274" i="41"/>
  <c r="D275" i="41"/>
  <c r="E275" i="41" s="1"/>
  <c r="F275" i="41"/>
  <c r="D276" i="41"/>
  <c r="E276" i="41" s="1"/>
  <c r="F276" i="41"/>
  <c r="D277" i="41"/>
  <c r="E277" i="41" s="1"/>
  <c r="F277" i="41"/>
  <c r="D278" i="41"/>
  <c r="E278" i="41"/>
  <c r="F278" i="41"/>
  <c r="D279" i="41"/>
  <c r="E279" i="41" s="1"/>
  <c r="F279" i="41"/>
  <c r="D280" i="41"/>
  <c r="E280" i="41"/>
  <c r="F280" i="41"/>
  <c r="D281" i="41"/>
  <c r="E281" i="41"/>
  <c r="F281" i="41"/>
  <c r="D282" i="41"/>
  <c r="E282" i="41" s="1"/>
  <c r="F282" i="41"/>
  <c r="D283" i="41"/>
  <c r="E283" i="41" s="1"/>
  <c r="F283" i="41"/>
  <c r="D284" i="41"/>
  <c r="E284" i="41" s="1"/>
  <c r="F284" i="41"/>
  <c r="D285" i="41"/>
  <c r="E285" i="41" s="1"/>
  <c r="F285" i="41"/>
  <c r="D286" i="41"/>
  <c r="E286" i="41"/>
  <c r="F286" i="41"/>
  <c r="D287" i="41"/>
  <c r="E287" i="41" s="1"/>
  <c r="F287" i="41"/>
  <c r="D288" i="41"/>
  <c r="E288" i="41"/>
  <c r="F288" i="41"/>
  <c r="D289" i="41"/>
  <c r="E289" i="41"/>
  <c r="F289" i="41"/>
  <c r="D290" i="41"/>
  <c r="E290" i="41" s="1"/>
  <c r="F290" i="41"/>
  <c r="D291" i="41"/>
  <c r="E291" i="41" s="1"/>
  <c r="F291" i="41"/>
  <c r="D292" i="41"/>
  <c r="E292" i="41" s="1"/>
  <c r="F292" i="41"/>
  <c r="D293" i="41"/>
  <c r="E293" i="41" s="1"/>
  <c r="F293" i="41"/>
  <c r="D294" i="41"/>
  <c r="E294" i="41" s="1"/>
  <c r="F294" i="41"/>
  <c r="D295" i="41"/>
  <c r="E295" i="41" s="1"/>
  <c r="F295" i="41"/>
  <c r="D296" i="41"/>
  <c r="E296" i="41"/>
  <c r="F296" i="41"/>
  <c r="D297" i="41"/>
  <c r="E297" i="41" s="1"/>
  <c r="F297" i="41"/>
  <c r="D298" i="41"/>
  <c r="E298" i="41" s="1"/>
  <c r="F298" i="41"/>
  <c r="D299" i="41"/>
  <c r="E299" i="41" s="1"/>
  <c r="F299" i="41"/>
  <c r="D300" i="41"/>
  <c r="E300" i="41" s="1"/>
  <c r="F300" i="41"/>
  <c r="D301" i="41"/>
  <c r="E301" i="41" s="1"/>
  <c r="F301" i="41"/>
  <c r="D302" i="41"/>
  <c r="E302" i="41" s="1"/>
  <c r="F302" i="41"/>
  <c r="D303" i="41"/>
  <c r="E303" i="41" s="1"/>
  <c r="F303" i="41"/>
  <c r="D304" i="41"/>
  <c r="E304" i="41" s="1"/>
  <c r="F304" i="41"/>
  <c r="D305" i="41"/>
  <c r="E305" i="41" s="1"/>
  <c r="F305" i="41"/>
  <c r="D306" i="41"/>
  <c r="E306" i="41" s="1"/>
  <c r="F306" i="41"/>
  <c r="D307" i="41"/>
  <c r="E307" i="41" s="1"/>
  <c r="F307" i="41"/>
  <c r="D308" i="41"/>
  <c r="E308" i="41" s="1"/>
  <c r="F308" i="41"/>
  <c r="D309" i="41"/>
  <c r="E309" i="41" s="1"/>
  <c r="F309" i="41"/>
  <c r="D310" i="41"/>
  <c r="E310" i="41"/>
  <c r="F310" i="41"/>
  <c r="D311" i="41"/>
  <c r="E311" i="41" s="1"/>
  <c r="F311" i="41"/>
  <c r="D312" i="41"/>
  <c r="E312" i="41" s="1"/>
  <c r="F312" i="41"/>
  <c r="D313" i="41"/>
  <c r="E313" i="41"/>
  <c r="F313" i="41"/>
  <c r="D314" i="41"/>
  <c r="E314" i="41" s="1"/>
  <c r="F314" i="41"/>
  <c r="D315" i="41"/>
  <c r="E315" i="41" s="1"/>
  <c r="F315" i="41"/>
  <c r="D316" i="41"/>
  <c r="E316" i="41" s="1"/>
  <c r="F316" i="41"/>
  <c r="D317" i="41"/>
  <c r="E317" i="41" s="1"/>
  <c r="F317" i="41"/>
  <c r="D318" i="41"/>
  <c r="E318" i="41"/>
  <c r="F318" i="41"/>
  <c r="D319" i="41"/>
  <c r="E319" i="41" s="1"/>
  <c r="F319" i="41"/>
  <c r="D320" i="41"/>
  <c r="E320" i="41"/>
  <c r="F320" i="41"/>
  <c r="D321" i="41"/>
  <c r="E321" i="41"/>
  <c r="F321" i="41"/>
  <c r="D322" i="41"/>
  <c r="E322" i="41" s="1"/>
  <c r="F322" i="41"/>
  <c r="D323" i="41"/>
  <c r="E323" i="41" s="1"/>
  <c r="F323" i="41"/>
  <c r="D324" i="41"/>
  <c r="E324" i="41" s="1"/>
  <c r="F324" i="41"/>
  <c r="D325" i="41"/>
  <c r="E325" i="41" s="1"/>
  <c r="F325" i="41"/>
  <c r="D326" i="41"/>
  <c r="E326" i="41" s="1"/>
  <c r="F326" i="41"/>
  <c r="D327" i="41"/>
  <c r="E327" i="41" s="1"/>
  <c r="F327" i="41"/>
  <c r="D328" i="41"/>
  <c r="E328" i="41" s="1"/>
  <c r="F328" i="41"/>
  <c r="D329" i="41"/>
  <c r="E329" i="41" s="1"/>
  <c r="F329" i="41"/>
  <c r="D330" i="41"/>
  <c r="E330" i="41" s="1"/>
  <c r="F330" i="41"/>
  <c r="D331" i="41"/>
  <c r="E331" i="41" s="1"/>
  <c r="F331" i="41"/>
  <c r="D332" i="41"/>
  <c r="E332" i="41" s="1"/>
  <c r="F332" i="41"/>
  <c r="D333" i="41"/>
  <c r="E333" i="41" s="1"/>
  <c r="F333" i="41"/>
  <c r="D334" i="41"/>
  <c r="E334" i="41"/>
  <c r="F334" i="41"/>
  <c r="D335" i="41"/>
  <c r="E335" i="41" s="1"/>
  <c r="F335" i="41"/>
  <c r="D336" i="41"/>
  <c r="E336" i="41" s="1"/>
  <c r="F336" i="41"/>
  <c r="D337" i="41"/>
  <c r="E337" i="41"/>
  <c r="F337" i="41"/>
  <c r="D338" i="41"/>
  <c r="E338" i="41" s="1"/>
  <c r="F338" i="41"/>
  <c r="D339" i="41"/>
  <c r="E339" i="41" s="1"/>
  <c r="F339" i="41"/>
  <c r="D340" i="41"/>
  <c r="E340" i="41" s="1"/>
  <c r="F340" i="41"/>
  <c r="D341" i="41"/>
  <c r="E341" i="41" s="1"/>
  <c r="F341" i="41"/>
  <c r="D342" i="41"/>
  <c r="E342" i="41"/>
  <c r="F342" i="41"/>
  <c r="D343" i="41"/>
  <c r="E343" i="41" s="1"/>
  <c r="F343" i="41"/>
  <c r="D344" i="41"/>
  <c r="E344" i="41"/>
  <c r="F344" i="41"/>
  <c r="D345" i="41"/>
  <c r="E345" i="41"/>
  <c r="F345" i="41"/>
  <c r="D346" i="41"/>
  <c r="E346" i="41" s="1"/>
  <c r="F346" i="41"/>
  <c r="D347" i="41"/>
  <c r="E347" i="41" s="1"/>
  <c r="F347" i="41"/>
  <c r="D348" i="41"/>
  <c r="E348" i="41" s="1"/>
  <c r="F348" i="41"/>
  <c r="D349" i="41"/>
  <c r="E349" i="41" s="1"/>
  <c r="F349" i="41"/>
  <c r="D350" i="41"/>
  <c r="E350" i="41"/>
  <c r="F350" i="41"/>
  <c r="D351" i="41"/>
  <c r="E351" i="41" s="1"/>
  <c r="F351" i="41"/>
  <c r="D352" i="41"/>
  <c r="E352" i="41"/>
  <c r="F352" i="41"/>
  <c r="D353" i="41"/>
  <c r="E353" i="41"/>
  <c r="F353" i="41"/>
  <c r="D354" i="41"/>
  <c r="E354" i="41" s="1"/>
  <c r="F354" i="41"/>
  <c r="D355" i="41"/>
  <c r="E355" i="41" s="1"/>
  <c r="F355" i="41"/>
  <c r="D356" i="41"/>
  <c r="E356" i="41" s="1"/>
  <c r="F356" i="41"/>
  <c r="D357" i="41"/>
  <c r="E357" i="41" s="1"/>
  <c r="F357" i="41"/>
  <c r="D358" i="41"/>
  <c r="E358" i="41" s="1"/>
  <c r="F358" i="41"/>
  <c r="D359" i="41"/>
  <c r="E359" i="41" s="1"/>
  <c r="F359" i="41"/>
  <c r="D360" i="41"/>
  <c r="E360" i="41"/>
  <c r="F360" i="41"/>
  <c r="D361" i="41"/>
  <c r="E361" i="41" s="1"/>
  <c r="F361" i="41"/>
  <c r="D362" i="41"/>
  <c r="E362" i="41" s="1"/>
  <c r="F362" i="41"/>
  <c r="D363" i="41"/>
  <c r="E363" i="41" s="1"/>
  <c r="F363" i="41"/>
  <c r="D364" i="41"/>
  <c r="E364" i="41" s="1"/>
  <c r="F364" i="41"/>
  <c r="D365" i="41"/>
  <c r="E365" i="41" s="1"/>
  <c r="F365" i="41"/>
  <c r="D366" i="41"/>
  <c r="E366" i="41" s="1"/>
  <c r="F366" i="41"/>
  <c r="D367" i="41"/>
  <c r="E367" i="41" s="1"/>
  <c r="F367" i="41"/>
  <c r="D368" i="41"/>
  <c r="E368" i="41" s="1"/>
  <c r="F368" i="41"/>
  <c r="D369" i="41"/>
  <c r="E369" i="41" s="1"/>
  <c r="F369" i="41"/>
  <c r="D370" i="41"/>
  <c r="E370" i="41" s="1"/>
  <c r="F370" i="41"/>
  <c r="D371" i="41"/>
  <c r="E371" i="41" s="1"/>
  <c r="F371" i="41"/>
  <c r="D372" i="41"/>
  <c r="E372" i="41" s="1"/>
  <c r="F372" i="41"/>
  <c r="D373" i="41"/>
  <c r="E373" i="41" s="1"/>
  <c r="F373" i="41"/>
  <c r="D374" i="41"/>
  <c r="E374" i="41"/>
  <c r="F374" i="41"/>
  <c r="D375" i="41"/>
  <c r="E375" i="41" s="1"/>
  <c r="F375" i="41"/>
  <c r="D376" i="41"/>
  <c r="E376" i="41" s="1"/>
  <c r="F376" i="41"/>
  <c r="D377" i="41"/>
  <c r="E377" i="41"/>
  <c r="F377" i="41"/>
  <c r="D378" i="41"/>
  <c r="E378" i="41" s="1"/>
  <c r="F378" i="41"/>
  <c r="D379" i="41"/>
  <c r="E379" i="41" s="1"/>
  <c r="F379" i="41"/>
  <c r="D380" i="41"/>
  <c r="E380" i="41" s="1"/>
  <c r="F380" i="41"/>
  <c r="D381" i="41"/>
  <c r="E381" i="41" s="1"/>
  <c r="F381" i="41"/>
  <c r="D382" i="41"/>
  <c r="E382" i="41"/>
  <c r="F382" i="41"/>
  <c r="D383" i="41"/>
  <c r="E383" i="41" s="1"/>
  <c r="F383" i="41"/>
  <c r="D384" i="41"/>
  <c r="E384" i="41"/>
  <c r="F384" i="41"/>
  <c r="D385" i="41"/>
  <c r="E385" i="41"/>
  <c r="F385" i="41"/>
  <c r="D386" i="41"/>
  <c r="E386" i="41" s="1"/>
  <c r="F386" i="41"/>
  <c r="D387" i="41"/>
  <c r="E387" i="41" s="1"/>
  <c r="F387" i="41"/>
  <c r="D388" i="41"/>
  <c r="E388" i="41" s="1"/>
  <c r="F388" i="41"/>
  <c r="D389" i="41"/>
  <c r="E389" i="41" s="1"/>
  <c r="F389" i="41"/>
  <c r="D390" i="41"/>
  <c r="E390" i="41" s="1"/>
  <c r="F390" i="41"/>
  <c r="D391" i="41"/>
  <c r="E391" i="41" s="1"/>
  <c r="F391" i="41"/>
  <c r="D392" i="41"/>
  <c r="E392" i="41"/>
  <c r="F392" i="41"/>
  <c r="D393" i="41"/>
  <c r="E393" i="41" s="1"/>
  <c r="F393" i="41"/>
  <c r="D394" i="41"/>
  <c r="E394" i="41" s="1"/>
  <c r="F394" i="41"/>
  <c r="D395" i="41"/>
  <c r="E395" i="41" s="1"/>
  <c r="F395" i="41"/>
  <c r="D396" i="41"/>
  <c r="E396" i="41" s="1"/>
  <c r="F396" i="41"/>
  <c r="D397" i="41"/>
  <c r="E397" i="41" s="1"/>
  <c r="F397" i="41"/>
  <c r="D398" i="41"/>
  <c r="E398" i="41"/>
  <c r="F398" i="41"/>
  <c r="D399" i="41"/>
  <c r="E399" i="41" s="1"/>
  <c r="F399" i="41"/>
  <c r="D400" i="41"/>
  <c r="E400" i="41" s="1"/>
  <c r="F400" i="41"/>
  <c r="D401" i="41"/>
  <c r="E401" i="41"/>
  <c r="F401" i="41"/>
  <c r="D402" i="41"/>
  <c r="E402" i="41" s="1"/>
  <c r="F402" i="41"/>
  <c r="D403" i="41"/>
  <c r="E403" i="41" s="1"/>
  <c r="F403" i="41"/>
  <c r="D404" i="41"/>
  <c r="E404" i="41" s="1"/>
  <c r="F404" i="41"/>
  <c r="D405" i="41"/>
  <c r="E405" i="41" s="1"/>
  <c r="F405" i="41"/>
  <c r="D406" i="41"/>
  <c r="E406" i="41"/>
  <c r="F406" i="41"/>
  <c r="D407" i="41"/>
  <c r="E407" i="41" s="1"/>
  <c r="F407" i="41"/>
  <c r="D408" i="41"/>
  <c r="E408" i="41"/>
  <c r="F408" i="41"/>
  <c r="D409" i="41"/>
  <c r="E409" i="41"/>
  <c r="F409" i="41"/>
  <c r="D410" i="41"/>
  <c r="E410" i="41" s="1"/>
  <c r="F410" i="41"/>
  <c r="D411" i="41"/>
  <c r="E411" i="41" s="1"/>
  <c r="F411" i="41"/>
  <c r="D412" i="41"/>
  <c r="E412" i="41" s="1"/>
  <c r="F412" i="41"/>
  <c r="D413" i="41"/>
  <c r="E413" i="41" s="1"/>
  <c r="F413" i="41"/>
  <c r="D414" i="41"/>
  <c r="E414" i="41"/>
  <c r="F414" i="41"/>
  <c r="D415" i="41"/>
  <c r="E415" i="41" s="1"/>
  <c r="F415" i="41"/>
  <c r="D416" i="41"/>
  <c r="E416" i="41"/>
  <c r="F416" i="41"/>
  <c r="D417" i="41"/>
  <c r="E417" i="41"/>
  <c r="F417" i="41"/>
  <c r="D418" i="41"/>
  <c r="E418" i="41" s="1"/>
  <c r="F418" i="41"/>
  <c r="D419" i="41"/>
  <c r="E419" i="41" s="1"/>
  <c r="F419" i="41"/>
  <c r="D420" i="41"/>
  <c r="E420" i="41" s="1"/>
  <c r="F420" i="41"/>
  <c r="D421" i="41"/>
  <c r="E421" i="41" s="1"/>
  <c r="F421" i="41"/>
  <c r="D422" i="41"/>
  <c r="E422" i="41" s="1"/>
  <c r="F422" i="41"/>
  <c r="D423" i="41"/>
  <c r="E423" i="41" s="1"/>
  <c r="F423" i="41"/>
  <c r="D424" i="41"/>
  <c r="E424" i="41"/>
  <c r="F424" i="41"/>
  <c r="D425" i="41"/>
  <c r="E425" i="41" s="1"/>
  <c r="F425" i="41"/>
  <c r="D426" i="41"/>
  <c r="E426" i="41" s="1"/>
  <c r="F426" i="41"/>
  <c r="D427" i="41"/>
  <c r="E427" i="41" s="1"/>
  <c r="F427" i="41"/>
  <c r="D428" i="41"/>
  <c r="E428" i="41" s="1"/>
  <c r="F428" i="41"/>
  <c r="D429" i="41"/>
  <c r="E429" i="41" s="1"/>
  <c r="F429" i="41"/>
  <c r="D430" i="41"/>
  <c r="E430" i="41" s="1"/>
  <c r="F430" i="41"/>
  <c r="D431" i="41"/>
  <c r="E431" i="41" s="1"/>
  <c r="F431" i="41"/>
  <c r="D432" i="41"/>
  <c r="E432" i="41" s="1"/>
  <c r="F432" i="41"/>
  <c r="D433" i="41"/>
  <c r="E433" i="41" s="1"/>
  <c r="F433" i="41"/>
  <c r="D434" i="41"/>
  <c r="E434" i="41" s="1"/>
  <c r="F434" i="41"/>
  <c r="D435" i="41"/>
  <c r="E435" i="41" s="1"/>
  <c r="F435" i="41"/>
  <c r="D436" i="41"/>
  <c r="E436" i="41" s="1"/>
  <c r="F436" i="41"/>
  <c r="D437" i="41"/>
  <c r="E437" i="41" s="1"/>
  <c r="F437" i="41"/>
  <c r="D438" i="41"/>
  <c r="E438" i="41"/>
  <c r="F438" i="41"/>
  <c r="D439" i="41"/>
  <c r="E439" i="41" s="1"/>
  <c r="F439" i="41"/>
  <c r="D440" i="41"/>
  <c r="E440" i="41" s="1"/>
  <c r="F440" i="41"/>
  <c r="D441" i="41"/>
  <c r="E441" i="41"/>
  <c r="F441" i="41"/>
  <c r="D442" i="41"/>
  <c r="E442" i="41" s="1"/>
  <c r="F442" i="41"/>
  <c r="D443" i="41"/>
  <c r="E443" i="41" s="1"/>
  <c r="F443" i="41"/>
  <c r="D444" i="41"/>
  <c r="E444" i="41" s="1"/>
  <c r="F444" i="41"/>
  <c r="D445" i="41"/>
  <c r="E445" i="41" s="1"/>
  <c r="F445" i="41"/>
  <c r="D446" i="41"/>
  <c r="E446" i="41" s="1"/>
  <c r="F446" i="41"/>
  <c r="D447" i="41"/>
  <c r="E447" i="41" s="1"/>
  <c r="F447" i="41"/>
  <c r="D448" i="41"/>
  <c r="E448" i="41"/>
  <c r="F448" i="41"/>
  <c r="D449" i="41"/>
  <c r="E449" i="41" s="1"/>
  <c r="F449" i="41"/>
  <c r="D450" i="41"/>
  <c r="E450" i="41" s="1"/>
  <c r="F450" i="41"/>
  <c r="D451" i="41"/>
  <c r="E451" i="41" s="1"/>
  <c r="F451" i="41"/>
  <c r="D452" i="41"/>
  <c r="E452" i="41" s="1"/>
  <c r="F452" i="41"/>
  <c r="D453" i="41"/>
  <c r="E453" i="41" s="1"/>
  <c r="F453" i="41"/>
  <c r="D454" i="41"/>
  <c r="E454" i="41" s="1"/>
  <c r="F454" i="41"/>
  <c r="D455" i="41"/>
  <c r="E455" i="41" s="1"/>
  <c r="F455" i="41"/>
  <c r="D456" i="41"/>
  <c r="E456" i="41" s="1"/>
  <c r="F456" i="41"/>
  <c r="D457" i="41"/>
  <c r="E457" i="41" s="1"/>
  <c r="F457" i="41"/>
  <c r="D458" i="41"/>
  <c r="E458" i="41" s="1"/>
  <c r="F458" i="41"/>
  <c r="D459" i="41"/>
  <c r="E459" i="41" s="1"/>
  <c r="F459" i="41"/>
  <c r="D460" i="41"/>
  <c r="E460" i="41" s="1"/>
  <c r="F460" i="41"/>
  <c r="D461" i="41"/>
  <c r="E461" i="41" s="1"/>
  <c r="F461" i="41"/>
  <c r="D462" i="41"/>
  <c r="E462" i="41"/>
  <c r="F462" i="41"/>
  <c r="D463" i="41"/>
  <c r="E463" i="41" s="1"/>
  <c r="F463" i="41"/>
  <c r="D464" i="41"/>
  <c r="E464" i="41" s="1"/>
  <c r="F464" i="41"/>
  <c r="D465" i="41"/>
  <c r="E465" i="41"/>
  <c r="F465" i="41"/>
  <c r="D466" i="41"/>
  <c r="E466" i="41" s="1"/>
  <c r="F466" i="41"/>
  <c r="D467" i="41"/>
  <c r="E467" i="41" s="1"/>
  <c r="F467" i="41"/>
  <c r="D468" i="41"/>
  <c r="E468" i="41" s="1"/>
  <c r="F468" i="41"/>
  <c r="D469" i="41"/>
  <c r="E469" i="41" s="1"/>
  <c r="F469" i="41"/>
  <c r="D470" i="41"/>
  <c r="E470" i="41"/>
  <c r="F470" i="41"/>
  <c r="D471" i="41"/>
  <c r="E471" i="41" s="1"/>
  <c r="F471" i="41"/>
  <c r="D472" i="41"/>
  <c r="E472" i="41"/>
  <c r="F472" i="41"/>
  <c r="D473" i="41"/>
  <c r="E473" i="41"/>
  <c r="F473" i="41"/>
  <c r="D474" i="41"/>
  <c r="E474" i="41" s="1"/>
  <c r="F474" i="41"/>
  <c r="D475" i="41"/>
  <c r="E475" i="41" s="1"/>
  <c r="F475" i="41"/>
  <c r="D476" i="41"/>
  <c r="E476" i="41" s="1"/>
  <c r="F476" i="41"/>
  <c r="D477" i="41"/>
  <c r="E477" i="41" s="1"/>
  <c r="F477" i="41"/>
  <c r="D478" i="41"/>
  <c r="E478" i="41"/>
  <c r="F478" i="41"/>
  <c r="D479" i="41"/>
  <c r="E479" i="41" s="1"/>
  <c r="F479" i="41"/>
  <c r="D480" i="41"/>
  <c r="E480" i="41"/>
  <c r="F480" i="41"/>
  <c r="D481" i="41"/>
  <c r="E481" i="41"/>
  <c r="F481" i="41"/>
  <c r="D482" i="41"/>
  <c r="E482" i="41" s="1"/>
  <c r="F482" i="41"/>
  <c r="D483" i="41"/>
  <c r="E483" i="41" s="1"/>
  <c r="F483" i="41"/>
  <c r="D484" i="41"/>
  <c r="E484" i="41" s="1"/>
  <c r="F484" i="41"/>
  <c r="D485" i="41"/>
  <c r="E485" i="41" s="1"/>
  <c r="F485" i="41"/>
  <c r="D486" i="41"/>
  <c r="E486" i="41" s="1"/>
  <c r="F486" i="41"/>
  <c r="D487" i="41"/>
  <c r="E487" i="41" s="1"/>
  <c r="F487" i="41"/>
  <c r="D488" i="41"/>
  <c r="E488" i="41"/>
  <c r="F488" i="41"/>
  <c r="D489" i="41"/>
  <c r="E489" i="41" s="1"/>
  <c r="F489" i="41"/>
  <c r="D490" i="41"/>
  <c r="E490" i="41" s="1"/>
  <c r="F490" i="41"/>
  <c r="D491" i="41"/>
  <c r="E491" i="41" s="1"/>
  <c r="F491" i="41"/>
  <c r="D492" i="41"/>
  <c r="E492" i="41" s="1"/>
  <c r="F492" i="41"/>
  <c r="D493" i="41"/>
  <c r="E493" i="41" s="1"/>
  <c r="F493" i="41"/>
  <c r="D494" i="41"/>
  <c r="E494" i="41" s="1"/>
  <c r="F494" i="41"/>
  <c r="D495" i="41"/>
  <c r="E495" i="41" s="1"/>
  <c r="F495" i="41"/>
  <c r="D496" i="41"/>
  <c r="E496" i="41" s="1"/>
  <c r="F496" i="41"/>
  <c r="D497" i="41"/>
  <c r="E497" i="41" s="1"/>
  <c r="F497" i="41"/>
  <c r="D498" i="41"/>
  <c r="E498" i="41" s="1"/>
  <c r="F498" i="41"/>
  <c r="D499" i="41"/>
  <c r="E499" i="41" s="1"/>
  <c r="F499" i="41"/>
  <c r="D500" i="41"/>
  <c r="E500" i="41" s="1"/>
  <c r="F500" i="41"/>
  <c r="D501" i="41"/>
  <c r="E501" i="41" s="1"/>
  <c r="F501" i="41"/>
  <c r="D502" i="41"/>
  <c r="E502" i="41"/>
  <c r="F502" i="41"/>
  <c r="D503" i="41"/>
  <c r="E503" i="41" s="1"/>
  <c r="F503" i="41"/>
  <c r="D504" i="41"/>
  <c r="E504" i="41" s="1"/>
  <c r="F504" i="41"/>
  <c r="D505" i="41"/>
  <c r="E505" i="41"/>
  <c r="F505" i="41"/>
  <c r="D506" i="41"/>
  <c r="E506" i="41" s="1"/>
  <c r="F506" i="41"/>
  <c r="D507" i="41"/>
  <c r="E507" i="41" s="1"/>
  <c r="F507" i="41"/>
  <c r="D508" i="41"/>
  <c r="E508" i="41" s="1"/>
  <c r="F508" i="41"/>
  <c r="D509" i="41"/>
  <c r="E509" i="41" s="1"/>
  <c r="F509" i="41"/>
  <c r="D510" i="41"/>
  <c r="E510" i="41" s="1"/>
  <c r="F510" i="41"/>
  <c r="D511" i="41"/>
  <c r="E511" i="41" s="1"/>
  <c r="F511" i="41"/>
  <c r="D512" i="41"/>
  <c r="E512" i="41"/>
  <c r="F512" i="41"/>
  <c r="D513" i="41"/>
  <c r="E513" i="41" s="1"/>
  <c r="F513" i="41"/>
  <c r="D514" i="41"/>
  <c r="E514" i="41" s="1"/>
  <c r="F514" i="41"/>
  <c r="D515" i="41"/>
  <c r="E515" i="41" s="1"/>
  <c r="F515" i="41"/>
  <c r="D516" i="41"/>
  <c r="E516" i="41" s="1"/>
  <c r="F516" i="41"/>
  <c r="D517" i="41"/>
  <c r="E517" i="41" s="1"/>
  <c r="F517" i="41"/>
  <c r="D518" i="41"/>
  <c r="E518" i="41" s="1"/>
  <c r="F518" i="41"/>
  <c r="D519" i="41"/>
  <c r="E519" i="41" s="1"/>
  <c r="F519" i="41"/>
  <c r="D520" i="41"/>
  <c r="E520" i="41" s="1"/>
  <c r="F520" i="41"/>
  <c r="D521" i="41"/>
  <c r="E521" i="41" s="1"/>
  <c r="F521" i="41"/>
  <c r="D522" i="41"/>
  <c r="E522" i="41" s="1"/>
  <c r="F522" i="41"/>
  <c r="D523" i="41"/>
  <c r="E523" i="41" s="1"/>
  <c r="F523" i="41"/>
  <c r="D524" i="41"/>
  <c r="E524" i="41" s="1"/>
  <c r="F524" i="41"/>
  <c r="D525" i="41"/>
  <c r="E525" i="41" s="1"/>
  <c r="F525" i="41"/>
  <c r="D526" i="41"/>
  <c r="E526" i="41"/>
  <c r="F526" i="41"/>
  <c r="D527" i="41"/>
  <c r="E527" i="41" s="1"/>
  <c r="F527" i="41"/>
  <c r="D528" i="41"/>
  <c r="E528" i="41" s="1"/>
  <c r="F528" i="41"/>
  <c r="D529" i="41"/>
  <c r="E529" i="41"/>
  <c r="F529" i="41"/>
  <c r="D530" i="41"/>
  <c r="E530" i="41" s="1"/>
  <c r="F530" i="41"/>
  <c r="D531" i="41"/>
  <c r="E531" i="41" s="1"/>
  <c r="F531" i="41"/>
  <c r="D532" i="41"/>
  <c r="E532" i="41" s="1"/>
  <c r="F532" i="41"/>
  <c r="D533" i="41"/>
  <c r="E533" i="41" s="1"/>
  <c r="F533" i="41"/>
  <c r="D534" i="41"/>
  <c r="E534" i="41" s="1"/>
  <c r="F534" i="41"/>
  <c r="D535" i="41"/>
  <c r="E535" i="41" s="1"/>
  <c r="F535" i="41"/>
  <c r="D536" i="41"/>
  <c r="E536" i="41"/>
  <c r="F536" i="41"/>
  <c r="D537" i="41"/>
  <c r="E537" i="41" s="1"/>
  <c r="F537" i="41"/>
  <c r="D538" i="41"/>
  <c r="E538" i="41" s="1"/>
  <c r="F538" i="41"/>
  <c r="D539" i="41"/>
  <c r="E539" i="41" s="1"/>
  <c r="F539" i="41"/>
  <c r="D540" i="41"/>
  <c r="E540" i="41" s="1"/>
  <c r="F540" i="41"/>
  <c r="D541" i="41"/>
  <c r="E541" i="41" s="1"/>
  <c r="F541" i="41"/>
  <c r="D542" i="41"/>
  <c r="E542" i="41" s="1"/>
  <c r="F542" i="41"/>
  <c r="D543" i="41"/>
  <c r="E543" i="41" s="1"/>
  <c r="F543" i="41"/>
  <c r="D544" i="41"/>
  <c r="E544" i="41" s="1"/>
  <c r="F544" i="41"/>
  <c r="D545" i="41"/>
  <c r="E545" i="41" s="1"/>
  <c r="F545" i="41"/>
  <c r="D546" i="41"/>
  <c r="E546" i="41" s="1"/>
  <c r="F546" i="41"/>
  <c r="D547" i="41"/>
  <c r="E547" i="41" s="1"/>
  <c r="F547" i="41"/>
  <c r="D548" i="41"/>
  <c r="E548" i="41" s="1"/>
  <c r="F548" i="41"/>
  <c r="D549" i="41"/>
  <c r="E549" i="41" s="1"/>
  <c r="F549" i="41"/>
  <c r="D550" i="41"/>
  <c r="E550" i="41" s="1"/>
  <c r="F550" i="41"/>
  <c r="D551" i="41"/>
  <c r="E551" i="41" s="1"/>
  <c r="F551" i="41"/>
  <c r="D552" i="41"/>
  <c r="E552" i="41"/>
  <c r="F552" i="41"/>
  <c r="D553" i="41"/>
  <c r="E553" i="41" s="1"/>
  <c r="F553" i="41"/>
  <c r="D554" i="41"/>
  <c r="E554" i="41" s="1"/>
  <c r="F554" i="41"/>
  <c r="D555" i="41"/>
  <c r="E555" i="41" s="1"/>
  <c r="F555" i="41"/>
  <c r="D556" i="41"/>
  <c r="E556" i="41" s="1"/>
  <c r="F556" i="41"/>
  <c r="D557" i="41"/>
  <c r="E557" i="41" s="1"/>
  <c r="F557" i="41"/>
  <c r="D558" i="41"/>
  <c r="E558" i="41"/>
  <c r="F558" i="41"/>
  <c r="D559" i="41"/>
  <c r="E559" i="41" s="1"/>
  <c r="F559" i="41"/>
  <c r="D560" i="41"/>
  <c r="E560" i="41" s="1"/>
  <c r="F560" i="41"/>
  <c r="D561" i="41"/>
  <c r="E561" i="41"/>
  <c r="F561" i="41"/>
  <c r="D562" i="41"/>
  <c r="E562" i="41" s="1"/>
  <c r="F562" i="41"/>
  <c r="D563" i="41"/>
  <c r="E563" i="41" s="1"/>
  <c r="F563" i="41"/>
  <c r="D564" i="41"/>
  <c r="E564" i="41" s="1"/>
  <c r="F564" i="41"/>
  <c r="D565" i="41"/>
  <c r="E565" i="41" s="1"/>
  <c r="F565" i="41"/>
  <c r="D566" i="41"/>
  <c r="E566" i="41"/>
  <c r="F566" i="41"/>
  <c r="D567" i="41"/>
  <c r="E567" i="41" s="1"/>
  <c r="F567" i="41"/>
  <c r="BA8" i="19" l="1"/>
  <c r="BD8" i="19" s="1"/>
  <c r="BG8" i="19" s="1"/>
  <c r="BB8" i="19"/>
  <c r="BE8" i="19" s="1"/>
  <c r="BH8" i="19" s="1"/>
  <c r="BK8" i="19" s="1"/>
  <c r="BN8" i="19" s="1"/>
  <c r="BQ8" i="19" s="1"/>
  <c r="BT8" i="19" s="1"/>
  <c r="BW8" i="19" s="1"/>
  <c r="BZ8" i="19" s="1"/>
  <c r="CC8" i="19" s="1"/>
  <c r="CF8" i="19" s="1"/>
  <c r="CI8" i="19" s="1"/>
  <c r="CL8" i="19" s="1"/>
  <c r="CO8" i="19" s="1"/>
  <c r="CR8" i="19" s="1"/>
  <c r="AZ8" i="19"/>
  <c r="BC8" i="19" s="1"/>
  <c r="BF8" i="19" s="1"/>
  <c r="BI8" i="19" s="1"/>
  <c r="BL8" i="19" s="1"/>
  <c r="BO8" i="19" s="1"/>
  <c r="BR8" i="19" s="1"/>
  <c r="BU8" i="19" s="1"/>
  <c r="BX8" i="19" s="1"/>
  <c r="CA8" i="19" s="1"/>
  <c r="CD8" i="19" s="1"/>
  <c r="CG8" i="19" s="1"/>
  <c r="CJ8" i="19" s="1"/>
  <c r="CM8" i="19" s="1"/>
  <c r="CP8" i="19" s="1"/>
  <c r="H1" i="42"/>
  <c r="I1" i="42" s="1"/>
  <c r="M196" i="20"/>
  <c r="N196" i="20"/>
  <c r="O196" i="20"/>
  <c r="P196" i="20"/>
  <c r="Q196" i="20"/>
  <c r="R196" i="20"/>
  <c r="S196" i="20"/>
  <c r="T196" i="20"/>
  <c r="U196" i="20"/>
  <c r="V196" i="20"/>
  <c r="W196" i="20"/>
  <c r="X196" i="20"/>
  <c r="Y196" i="20"/>
  <c r="Z196" i="20"/>
  <c r="AA196" i="20"/>
  <c r="AI196" i="20"/>
  <c r="AI202" i="20" s="1"/>
  <c r="AJ196" i="20"/>
  <c r="AJ199" i="20" s="1"/>
  <c r="AK196" i="20"/>
  <c r="AK199" i="20" s="1"/>
  <c r="AL196" i="20"/>
  <c r="AM196" i="20"/>
  <c r="AN196" i="20"/>
  <c r="AO196" i="20"/>
  <c r="AP196" i="20"/>
  <c r="AQ196" i="20"/>
  <c r="AR196" i="20"/>
  <c r="AS196" i="20"/>
  <c r="AT196" i="20"/>
  <c r="AU196" i="20"/>
  <c r="AV196" i="20"/>
  <c r="AW196" i="20"/>
  <c r="BD196" i="20"/>
  <c r="BE196" i="20"/>
  <c r="BF196" i="20"/>
  <c r="BG196" i="20"/>
  <c r="BG203" i="20" s="1"/>
  <c r="BH196" i="20"/>
  <c r="BH203" i="20" s="1"/>
  <c r="BI196" i="20"/>
  <c r="BI199" i="20" s="1"/>
  <c r="AK198" i="20"/>
  <c r="AU8" i="19"/>
  <c r="C18" i="20"/>
  <c r="D18" i="20" s="1"/>
  <c r="E18" i="20" s="1"/>
  <c r="F18" i="20" s="1"/>
  <c r="G18" i="20" s="1"/>
  <c r="H18" i="20" s="1"/>
  <c r="I18" i="20" s="1"/>
  <c r="J18" i="20" s="1"/>
  <c r="K18" i="20" s="1"/>
  <c r="L18" i="20" s="1"/>
  <c r="M18" i="20" s="1"/>
  <c r="N18" i="20" s="1"/>
  <c r="O18" i="20" s="1"/>
  <c r="P18" i="20" s="1"/>
  <c r="Q18" i="20" s="1"/>
  <c r="C155" i="20"/>
  <c r="C152" i="20"/>
  <c r="C151"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C63" i="20"/>
  <c r="D63" i="20" s="1"/>
  <c r="M20" i="20"/>
  <c r="N21" i="20" s="1"/>
  <c r="O22" i="20" s="1"/>
  <c r="P23" i="20" s="1"/>
  <c r="Q24" i="20" s="1"/>
  <c r="V20" i="20"/>
  <c r="V21" i="20" s="1"/>
  <c r="V22" i="20" s="1"/>
  <c r="V23" i="20" s="1"/>
  <c r="V24" i="20" s="1"/>
  <c r="V25" i="20" s="1"/>
  <c r="V26" i="20" s="1"/>
  <c r="V27" i="20" s="1"/>
  <c r="V28" i="20" s="1"/>
  <c r="V29" i="20" s="1"/>
  <c r="V30" i="20" s="1"/>
  <c r="V31" i="20" s="1"/>
  <c r="V32" i="20" s="1"/>
  <c r="V33" i="20" s="1"/>
  <c r="V34" i="20" s="1"/>
  <c r="V35" i="20" s="1"/>
  <c r="V36" i="20" s="1"/>
  <c r="V37" i="20" s="1"/>
  <c r="V38" i="20" s="1"/>
  <c r="V39" i="20" s="1"/>
  <c r="V40" i="20" s="1"/>
  <c r="V41" i="20" s="1"/>
  <c r="V42" i="20" s="1"/>
  <c r="V43" i="20" s="1"/>
  <c r="V44" i="20" s="1"/>
  <c r="V45" i="20" s="1"/>
  <c r="V46" i="20" s="1"/>
  <c r="V47" i="20" s="1"/>
  <c r="V48" i="20" s="1"/>
  <c r="V49" i="20" s="1"/>
  <c r="V50" i="20" s="1"/>
  <c r="V51" i="20" s="1"/>
  <c r="V52" i="20" s="1"/>
  <c r="V53" i="20" s="1"/>
  <c r="V54" i="20" s="1"/>
  <c r="V55" i="20" s="1"/>
  <c r="V56" i="20" s="1"/>
  <c r="V57" i="20" s="1"/>
  <c r="V58" i="20" s="1"/>
  <c r="Q19" i="20"/>
  <c r="P19" i="20"/>
  <c r="Q20" i="20" s="1"/>
  <c r="O19" i="20"/>
  <c r="N19" i="20"/>
  <c r="M19" i="20"/>
  <c r="L19" i="20"/>
  <c r="K19" i="20"/>
  <c r="L20" i="20" s="1"/>
  <c r="M21" i="20" s="1"/>
  <c r="N22" i="20" s="1"/>
  <c r="O23" i="20" s="1"/>
  <c r="P24" i="20" s="1"/>
  <c r="Q25" i="20" s="1"/>
  <c r="J19" i="20"/>
  <c r="K20" i="20" s="1"/>
  <c r="L21" i="20" s="1"/>
  <c r="M22" i="20" s="1"/>
  <c r="N23" i="20" s="1"/>
  <c r="O24" i="20" s="1"/>
  <c r="P25" i="20" s="1"/>
  <c r="Q26" i="20" s="1"/>
  <c r="I19" i="20"/>
  <c r="J20" i="20" s="1"/>
  <c r="K21" i="20" s="1"/>
  <c r="L22" i="20" s="1"/>
  <c r="M23" i="20" s="1"/>
  <c r="N24" i="20" s="1"/>
  <c r="O25" i="20" s="1"/>
  <c r="P26" i="20" s="1"/>
  <c r="Q27" i="20" s="1"/>
  <c r="H19" i="20"/>
  <c r="I20" i="20" s="1"/>
  <c r="J21" i="20" s="1"/>
  <c r="K22" i="20" s="1"/>
  <c r="L23" i="20" s="1"/>
  <c r="M24" i="20" s="1"/>
  <c r="N25" i="20" s="1"/>
  <c r="O26" i="20" s="1"/>
  <c r="P27" i="20" s="1"/>
  <c r="Q28" i="20" s="1"/>
  <c r="G19" i="20"/>
  <c r="F19" i="20"/>
  <c r="E19" i="20"/>
  <c r="D19" i="20"/>
  <c r="E20" i="20" s="1"/>
  <c r="F21" i="20" s="1"/>
  <c r="G22" i="20" s="1"/>
  <c r="H23" i="20" s="1"/>
  <c r="I24" i="20" s="1"/>
  <c r="J25" i="20" s="1"/>
  <c r="K26" i="20" s="1"/>
  <c r="L27" i="20" s="1"/>
  <c r="M28" i="20" s="1"/>
  <c r="N29" i="20" s="1"/>
  <c r="O30" i="20" s="1"/>
  <c r="P31" i="20" s="1"/>
  <c r="Q32" i="20" s="1"/>
  <c r="BG200" i="20" l="1"/>
  <c r="AJ202" i="20"/>
  <c r="H2" i="42"/>
  <c r="AI201" i="20"/>
  <c r="BI200" i="20"/>
  <c r="AK203" i="20"/>
  <c r="BI201" i="20"/>
  <c r="BI198" i="20"/>
  <c r="AI203" i="20"/>
  <c r="BH201" i="20"/>
  <c r="BI203" i="20"/>
  <c r="AK200" i="20"/>
  <c r="AK201" i="20"/>
  <c r="AK202" i="20"/>
  <c r="BI202" i="20"/>
  <c r="AI198" i="20"/>
  <c r="BJ8" i="19"/>
  <c r="BM8" i="19" s="1"/>
  <c r="BP8" i="19" s="1"/>
  <c r="BS8" i="19" s="1"/>
  <c r="BV8" i="19" s="1"/>
  <c r="BY8" i="19" s="1"/>
  <c r="CB8" i="19" s="1"/>
  <c r="CE8" i="19" s="1"/>
  <c r="CH8" i="19" s="1"/>
  <c r="CK8" i="19" s="1"/>
  <c r="CN8" i="19" s="1"/>
  <c r="CQ8" i="19" s="1"/>
  <c r="I2" i="42"/>
  <c r="J1" i="42"/>
  <c r="C153" i="20"/>
  <c r="C156" i="20" s="1"/>
  <c r="BH202" i="20"/>
  <c r="BH200" i="20"/>
  <c r="BH199" i="20"/>
  <c r="AJ203" i="20"/>
  <c r="AJ201" i="20"/>
  <c r="AJ200" i="20"/>
  <c r="BG201" i="20"/>
  <c r="BG199" i="20"/>
  <c r="BG198" i="20"/>
  <c r="BG202" i="20"/>
  <c r="BH198" i="20"/>
  <c r="AJ198" i="20"/>
  <c r="AI199" i="20"/>
  <c r="AI200" i="20"/>
  <c r="F20" i="20"/>
  <c r="G21" i="20" s="1"/>
  <c r="H22" i="20" s="1"/>
  <c r="I23" i="20" s="1"/>
  <c r="J24" i="20" s="1"/>
  <c r="K25" i="20" s="1"/>
  <c r="L26" i="20" s="1"/>
  <c r="M27" i="20" s="1"/>
  <c r="N28" i="20" s="1"/>
  <c r="O29" i="20" s="1"/>
  <c r="P30" i="20" s="1"/>
  <c r="Q31" i="20" s="1"/>
  <c r="N20" i="20"/>
  <c r="O21" i="20" s="1"/>
  <c r="P22" i="20" s="1"/>
  <c r="Q23" i="20" s="1"/>
  <c r="H20" i="20"/>
  <c r="I21" i="20" s="1"/>
  <c r="J22" i="20" s="1"/>
  <c r="K23" i="20" s="1"/>
  <c r="L24" i="20" s="1"/>
  <c r="M25" i="20" s="1"/>
  <c r="N26" i="20" s="1"/>
  <c r="O27" i="20" s="1"/>
  <c r="P28" i="20" s="1"/>
  <c r="Q29" i="20" s="1"/>
  <c r="P20" i="20"/>
  <c r="Q21" i="20" s="1"/>
  <c r="E63" i="20"/>
  <c r="D62" i="20"/>
  <c r="G20" i="20"/>
  <c r="H21" i="20" s="1"/>
  <c r="I22" i="20" s="1"/>
  <c r="J23" i="20" s="1"/>
  <c r="K24" i="20" s="1"/>
  <c r="L25" i="20" s="1"/>
  <c r="M26" i="20" s="1"/>
  <c r="N27" i="20" s="1"/>
  <c r="O28" i="20" s="1"/>
  <c r="P29" i="20" s="1"/>
  <c r="Q30" i="20" s="1"/>
  <c r="O20" i="20"/>
  <c r="P21" i="20" s="1"/>
  <c r="Q22" i="20" s="1"/>
  <c r="C62" i="20"/>
  <c r="K1" i="42" l="1"/>
  <c r="J2" i="42"/>
  <c r="C139" i="20"/>
  <c r="C131" i="20"/>
  <c r="C123" i="20"/>
  <c r="C115" i="20"/>
  <c r="C138" i="20"/>
  <c r="C130" i="20"/>
  <c r="C122" i="20"/>
  <c r="C114" i="20"/>
  <c r="C137" i="20"/>
  <c r="C129" i="20"/>
  <c r="C121" i="20"/>
  <c r="C113" i="20"/>
  <c r="C136" i="20"/>
  <c r="C128" i="20"/>
  <c r="C120" i="20"/>
  <c r="C112" i="20"/>
  <c r="C135" i="20"/>
  <c r="C127" i="20"/>
  <c r="C119" i="20"/>
  <c r="C111" i="20"/>
  <c r="C142" i="20"/>
  <c r="C134" i="20"/>
  <c r="C126" i="20"/>
  <c r="C118" i="20"/>
  <c r="C110" i="20"/>
  <c r="C140" i="20"/>
  <c r="C132" i="20"/>
  <c r="C124" i="20"/>
  <c r="C116" i="20"/>
  <c r="C108" i="20"/>
  <c r="C133" i="20"/>
  <c r="C96" i="20"/>
  <c r="C88" i="20"/>
  <c r="C80" i="20"/>
  <c r="C72" i="20"/>
  <c r="C141" i="20"/>
  <c r="C109" i="20"/>
  <c r="C95" i="20"/>
  <c r="C87" i="20"/>
  <c r="C79" i="20"/>
  <c r="C106" i="20"/>
  <c r="C103" i="20"/>
  <c r="C102" i="20"/>
  <c r="C94" i="20"/>
  <c r="C86" i="20"/>
  <c r="C78" i="20"/>
  <c r="C104" i="20"/>
  <c r="C101" i="20"/>
  <c r="C93" i="20"/>
  <c r="C100" i="20"/>
  <c r="C92" i="20"/>
  <c r="C84" i="20"/>
  <c r="C76" i="20"/>
  <c r="C99" i="20"/>
  <c r="C91" i="20"/>
  <c r="C125" i="20"/>
  <c r="C107" i="20"/>
  <c r="C85" i="20"/>
  <c r="C74" i="20"/>
  <c r="C68" i="20"/>
  <c r="C98" i="20"/>
  <c r="C67" i="20"/>
  <c r="C117" i="20"/>
  <c r="C83" i="20"/>
  <c r="C66" i="20"/>
  <c r="C82" i="20"/>
  <c r="C65" i="20"/>
  <c r="C77" i="20"/>
  <c r="C97" i="20"/>
  <c r="C90" i="20"/>
  <c r="C73" i="20"/>
  <c r="C105" i="20"/>
  <c r="C75" i="20"/>
  <c r="C71" i="20"/>
  <c r="C64" i="20"/>
  <c r="C89" i="20"/>
  <c r="C70" i="20"/>
  <c r="C81" i="20"/>
  <c r="C69" i="20"/>
  <c r="K147" i="20"/>
  <c r="C147" i="20"/>
  <c r="J147" i="20"/>
  <c r="Q147" i="20"/>
  <c r="I147" i="20"/>
  <c r="P147" i="20"/>
  <c r="H147" i="20"/>
  <c r="O147" i="20"/>
  <c r="G147" i="20"/>
  <c r="N147" i="20"/>
  <c r="F147" i="20"/>
  <c r="L147" i="20"/>
  <c r="D147" i="20"/>
  <c r="E147" i="20"/>
  <c r="M147" i="20"/>
  <c r="F63" i="20"/>
  <c r="E62" i="20"/>
  <c r="H171" i="42"/>
  <c r="I171" i="42"/>
  <c r="J171" i="42"/>
  <c r="K171" i="42"/>
  <c r="L171" i="42"/>
  <c r="M171" i="42"/>
  <c r="N171" i="42"/>
  <c r="O171" i="42"/>
  <c r="P171" i="42"/>
  <c r="Q171" i="42"/>
  <c r="R171" i="42"/>
  <c r="S171" i="42"/>
  <c r="T171" i="42"/>
  <c r="U171" i="42"/>
  <c r="V171" i="42"/>
  <c r="H172" i="42"/>
  <c r="I172" i="42"/>
  <c r="J172" i="42"/>
  <c r="K172" i="42"/>
  <c r="L172" i="42"/>
  <c r="M172" i="42"/>
  <c r="N172" i="42"/>
  <c r="O172" i="42"/>
  <c r="P172" i="42"/>
  <c r="Q172" i="42"/>
  <c r="R172" i="42"/>
  <c r="S172" i="42"/>
  <c r="T172" i="42"/>
  <c r="U172" i="42"/>
  <c r="V172" i="42"/>
  <c r="H173" i="42"/>
  <c r="I173" i="42"/>
  <c r="J173" i="42"/>
  <c r="K173" i="42"/>
  <c r="L173" i="42"/>
  <c r="M173" i="42"/>
  <c r="N173" i="42"/>
  <c r="O173" i="42"/>
  <c r="P173" i="42"/>
  <c r="Q173" i="42"/>
  <c r="R173" i="42"/>
  <c r="S173" i="42"/>
  <c r="T173" i="42"/>
  <c r="U173" i="42"/>
  <c r="V173" i="42"/>
  <c r="H174" i="42"/>
  <c r="I174" i="42"/>
  <c r="J174" i="42"/>
  <c r="K174" i="42"/>
  <c r="L174" i="42"/>
  <c r="M174" i="42"/>
  <c r="N174" i="42"/>
  <c r="O174" i="42"/>
  <c r="P174" i="42"/>
  <c r="Q174" i="42"/>
  <c r="R174" i="42"/>
  <c r="S174" i="42"/>
  <c r="T174" i="42"/>
  <c r="U174" i="42"/>
  <c r="V174" i="42"/>
  <c r="H175" i="42"/>
  <c r="I175" i="42"/>
  <c r="J175" i="42"/>
  <c r="K175" i="42"/>
  <c r="L175" i="42"/>
  <c r="M175" i="42"/>
  <c r="N175" i="42"/>
  <c r="O175" i="42"/>
  <c r="P175" i="42"/>
  <c r="Q175" i="42"/>
  <c r="R175" i="42"/>
  <c r="S175" i="42"/>
  <c r="T175" i="42"/>
  <c r="U175" i="42"/>
  <c r="V175" i="42"/>
  <c r="H176" i="42"/>
  <c r="I176" i="42"/>
  <c r="J176" i="42"/>
  <c r="K176" i="42"/>
  <c r="L176" i="42"/>
  <c r="M176" i="42"/>
  <c r="N176" i="42"/>
  <c r="O176" i="42"/>
  <c r="P176" i="42"/>
  <c r="Q176" i="42"/>
  <c r="R176" i="42"/>
  <c r="S176" i="42"/>
  <c r="T176" i="42"/>
  <c r="U176" i="42"/>
  <c r="V176" i="42"/>
  <c r="H177" i="42"/>
  <c r="I177" i="42"/>
  <c r="J177" i="42"/>
  <c r="K177" i="42"/>
  <c r="L177" i="42"/>
  <c r="M177" i="42"/>
  <c r="N177" i="42"/>
  <c r="O177" i="42"/>
  <c r="P177" i="42"/>
  <c r="Q177" i="42"/>
  <c r="R177" i="42"/>
  <c r="S177" i="42"/>
  <c r="T177" i="42"/>
  <c r="U177" i="42"/>
  <c r="V177" i="42"/>
  <c r="H178" i="42"/>
  <c r="I178" i="42"/>
  <c r="J178" i="42"/>
  <c r="K178" i="42"/>
  <c r="L178" i="42"/>
  <c r="M178" i="42"/>
  <c r="N178" i="42"/>
  <c r="O178" i="42"/>
  <c r="P178" i="42"/>
  <c r="Q178" i="42"/>
  <c r="R178" i="42"/>
  <c r="S178" i="42"/>
  <c r="T178" i="42"/>
  <c r="U178" i="42"/>
  <c r="V178" i="42"/>
  <c r="H179" i="42"/>
  <c r="I179" i="42"/>
  <c r="J179" i="42"/>
  <c r="K179" i="42"/>
  <c r="L179" i="42"/>
  <c r="M179" i="42"/>
  <c r="N179" i="42"/>
  <c r="O179" i="42"/>
  <c r="P179" i="42"/>
  <c r="Q179" i="42"/>
  <c r="R179" i="42"/>
  <c r="S179" i="42"/>
  <c r="T179" i="42"/>
  <c r="U179" i="42"/>
  <c r="V179" i="42"/>
  <c r="H180" i="42"/>
  <c r="I180" i="42"/>
  <c r="J180" i="42"/>
  <c r="K180" i="42"/>
  <c r="L180" i="42"/>
  <c r="M180" i="42"/>
  <c r="N180" i="42"/>
  <c r="O180" i="42"/>
  <c r="P180" i="42"/>
  <c r="Q180" i="42"/>
  <c r="R180" i="42"/>
  <c r="S180" i="42"/>
  <c r="T180" i="42"/>
  <c r="U180" i="42"/>
  <c r="V180" i="42"/>
  <c r="H181" i="42"/>
  <c r="I181" i="42"/>
  <c r="J181" i="42"/>
  <c r="K181" i="42"/>
  <c r="L181" i="42"/>
  <c r="M181" i="42"/>
  <c r="N181" i="42"/>
  <c r="O181" i="42"/>
  <c r="P181" i="42"/>
  <c r="Q181" i="42"/>
  <c r="R181" i="42"/>
  <c r="S181" i="42"/>
  <c r="T181" i="42"/>
  <c r="U181" i="42"/>
  <c r="V181" i="42"/>
  <c r="H182" i="42"/>
  <c r="I182" i="42"/>
  <c r="J182" i="42"/>
  <c r="K182" i="42"/>
  <c r="L182" i="42"/>
  <c r="M182" i="42"/>
  <c r="N182" i="42"/>
  <c r="O182" i="42"/>
  <c r="P182" i="42"/>
  <c r="Q182" i="42"/>
  <c r="R182" i="42"/>
  <c r="S182" i="42"/>
  <c r="T182" i="42"/>
  <c r="U182" i="42"/>
  <c r="V182" i="42"/>
  <c r="H183" i="42"/>
  <c r="I183" i="42"/>
  <c r="J183" i="42"/>
  <c r="K183" i="42"/>
  <c r="L183" i="42"/>
  <c r="M183" i="42"/>
  <c r="N183" i="42"/>
  <c r="O183" i="42"/>
  <c r="P183" i="42"/>
  <c r="Q183" i="42"/>
  <c r="R183" i="42"/>
  <c r="S183" i="42"/>
  <c r="T183" i="42"/>
  <c r="U183" i="42"/>
  <c r="V183" i="42"/>
  <c r="H184" i="42"/>
  <c r="I184" i="42"/>
  <c r="J184" i="42"/>
  <c r="K184" i="42"/>
  <c r="L184" i="42"/>
  <c r="M184" i="42"/>
  <c r="N184" i="42"/>
  <c r="O184" i="42"/>
  <c r="P184" i="42"/>
  <c r="Q184" i="42"/>
  <c r="R184" i="42"/>
  <c r="S184" i="42"/>
  <c r="T184" i="42"/>
  <c r="U184" i="42"/>
  <c r="V184" i="42"/>
  <c r="H185" i="42"/>
  <c r="I185" i="42"/>
  <c r="J185" i="42"/>
  <c r="K185" i="42"/>
  <c r="L185" i="42"/>
  <c r="M185" i="42"/>
  <c r="N185" i="42"/>
  <c r="O185" i="42"/>
  <c r="P185" i="42"/>
  <c r="Q185" i="42"/>
  <c r="R185" i="42"/>
  <c r="S185" i="42"/>
  <c r="T185" i="42"/>
  <c r="U185" i="42"/>
  <c r="V185" i="42"/>
  <c r="H186" i="42"/>
  <c r="I186" i="42"/>
  <c r="J186" i="42"/>
  <c r="K186" i="42"/>
  <c r="L186" i="42"/>
  <c r="M186" i="42"/>
  <c r="N186" i="42"/>
  <c r="O186" i="42"/>
  <c r="P186" i="42"/>
  <c r="Q186" i="42"/>
  <c r="R186" i="42"/>
  <c r="S186" i="42"/>
  <c r="T186" i="42"/>
  <c r="U186" i="42"/>
  <c r="V186" i="42"/>
  <c r="H187" i="42"/>
  <c r="I187" i="42"/>
  <c r="J187" i="42"/>
  <c r="K187" i="42"/>
  <c r="L187" i="42"/>
  <c r="M187" i="42"/>
  <c r="N187" i="42"/>
  <c r="O187" i="42"/>
  <c r="P187" i="42"/>
  <c r="Q187" i="42"/>
  <c r="R187" i="42"/>
  <c r="S187" i="42"/>
  <c r="T187" i="42"/>
  <c r="U187" i="42"/>
  <c r="V187" i="42"/>
  <c r="H188" i="42"/>
  <c r="I188" i="42"/>
  <c r="J188" i="42"/>
  <c r="K188" i="42"/>
  <c r="L188" i="42"/>
  <c r="M188" i="42"/>
  <c r="N188" i="42"/>
  <c r="O188" i="42"/>
  <c r="P188" i="42"/>
  <c r="Q188" i="42"/>
  <c r="R188" i="42"/>
  <c r="S188" i="42"/>
  <c r="T188" i="42"/>
  <c r="U188" i="42"/>
  <c r="V188" i="42"/>
  <c r="H189" i="42"/>
  <c r="I189" i="42"/>
  <c r="J189" i="42"/>
  <c r="K189" i="42"/>
  <c r="L189" i="42"/>
  <c r="M189" i="42"/>
  <c r="N189" i="42"/>
  <c r="O189" i="42"/>
  <c r="P189" i="42"/>
  <c r="Q189" i="42"/>
  <c r="R189" i="42"/>
  <c r="S189" i="42"/>
  <c r="T189" i="42"/>
  <c r="U189" i="42"/>
  <c r="V189" i="42"/>
  <c r="H190" i="42"/>
  <c r="I190" i="42"/>
  <c r="J190" i="42"/>
  <c r="K190" i="42"/>
  <c r="L190" i="42"/>
  <c r="M190" i="42"/>
  <c r="N190" i="42"/>
  <c r="O190" i="42"/>
  <c r="P190" i="42"/>
  <c r="Q190" i="42"/>
  <c r="R190" i="42"/>
  <c r="S190" i="42"/>
  <c r="T190" i="42"/>
  <c r="U190" i="42"/>
  <c r="V190" i="42"/>
  <c r="H191" i="42"/>
  <c r="I191" i="42"/>
  <c r="J191" i="42"/>
  <c r="K191" i="42"/>
  <c r="L191" i="42"/>
  <c r="M191" i="42"/>
  <c r="N191" i="42"/>
  <c r="O191" i="42"/>
  <c r="P191" i="42"/>
  <c r="Q191" i="42"/>
  <c r="R191" i="42"/>
  <c r="S191" i="42"/>
  <c r="T191" i="42"/>
  <c r="U191" i="42"/>
  <c r="V191" i="42"/>
  <c r="H192" i="42"/>
  <c r="I192" i="42"/>
  <c r="J192" i="42"/>
  <c r="K192" i="42"/>
  <c r="L192" i="42"/>
  <c r="M192" i="42"/>
  <c r="N192" i="42"/>
  <c r="O192" i="42"/>
  <c r="P192" i="42"/>
  <c r="Q192" i="42"/>
  <c r="R192" i="42"/>
  <c r="S192" i="42"/>
  <c r="T192" i="42"/>
  <c r="U192" i="42"/>
  <c r="V192" i="42"/>
  <c r="H193" i="42"/>
  <c r="I193" i="42"/>
  <c r="J193" i="42"/>
  <c r="K193" i="42"/>
  <c r="L193" i="42"/>
  <c r="M193" i="42"/>
  <c r="N193" i="42"/>
  <c r="O193" i="42"/>
  <c r="P193" i="42"/>
  <c r="Q193" i="42"/>
  <c r="R193" i="42"/>
  <c r="S193" i="42"/>
  <c r="T193" i="42"/>
  <c r="U193" i="42"/>
  <c r="V193" i="42"/>
  <c r="H194" i="42"/>
  <c r="I194" i="42"/>
  <c r="J194" i="42"/>
  <c r="K194" i="42"/>
  <c r="L194" i="42"/>
  <c r="M194" i="42"/>
  <c r="N194" i="42"/>
  <c r="O194" i="42"/>
  <c r="P194" i="42"/>
  <c r="Q194" i="42"/>
  <c r="R194" i="42"/>
  <c r="S194" i="42"/>
  <c r="T194" i="42"/>
  <c r="U194" i="42"/>
  <c r="V194" i="42"/>
  <c r="H195" i="42"/>
  <c r="I195" i="42"/>
  <c r="J195" i="42"/>
  <c r="K195" i="42"/>
  <c r="L195" i="42"/>
  <c r="M195" i="42"/>
  <c r="N195" i="42"/>
  <c r="O195" i="42"/>
  <c r="P195" i="42"/>
  <c r="Q195" i="42"/>
  <c r="R195" i="42"/>
  <c r="S195" i="42"/>
  <c r="T195" i="42"/>
  <c r="U195" i="42"/>
  <c r="V195" i="42"/>
  <c r="H196" i="42"/>
  <c r="I196" i="42"/>
  <c r="J196" i="42"/>
  <c r="K196" i="42"/>
  <c r="L196" i="42"/>
  <c r="M196" i="42"/>
  <c r="N196" i="42"/>
  <c r="O196" i="42"/>
  <c r="P196" i="42"/>
  <c r="Q196" i="42"/>
  <c r="R196" i="42"/>
  <c r="S196" i="42"/>
  <c r="T196" i="42"/>
  <c r="U196" i="42"/>
  <c r="V196" i="42"/>
  <c r="H197" i="42"/>
  <c r="I197" i="42"/>
  <c r="J197" i="42"/>
  <c r="K197" i="42"/>
  <c r="L197" i="42"/>
  <c r="M197" i="42"/>
  <c r="N197" i="42"/>
  <c r="O197" i="42"/>
  <c r="P197" i="42"/>
  <c r="Q197" i="42"/>
  <c r="R197" i="42"/>
  <c r="S197" i="42"/>
  <c r="T197" i="42"/>
  <c r="U197" i="42"/>
  <c r="V197" i="42"/>
  <c r="H198" i="42"/>
  <c r="I198" i="42"/>
  <c r="J198" i="42"/>
  <c r="K198" i="42"/>
  <c r="L198" i="42"/>
  <c r="M198" i="42"/>
  <c r="N198" i="42"/>
  <c r="O198" i="42"/>
  <c r="P198" i="42"/>
  <c r="Q198" i="42"/>
  <c r="R198" i="42"/>
  <c r="S198" i="42"/>
  <c r="T198" i="42"/>
  <c r="U198" i="42"/>
  <c r="V198" i="42"/>
  <c r="H199" i="42"/>
  <c r="I199" i="42"/>
  <c r="J199" i="42"/>
  <c r="K199" i="42"/>
  <c r="L199" i="42"/>
  <c r="M199" i="42"/>
  <c r="N199" i="42"/>
  <c r="O199" i="42"/>
  <c r="P199" i="42"/>
  <c r="Q199" i="42"/>
  <c r="R199" i="42"/>
  <c r="S199" i="42"/>
  <c r="T199" i="42"/>
  <c r="U199" i="42"/>
  <c r="V199" i="42"/>
  <c r="H200" i="42"/>
  <c r="I200" i="42"/>
  <c r="J200" i="42"/>
  <c r="K200" i="42"/>
  <c r="L200" i="42"/>
  <c r="M200" i="42"/>
  <c r="N200" i="42"/>
  <c r="O200" i="42"/>
  <c r="P200" i="42"/>
  <c r="Q200" i="42"/>
  <c r="R200" i="42"/>
  <c r="S200" i="42"/>
  <c r="T200" i="42"/>
  <c r="U200" i="42"/>
  <c r="V200" i="42"/>
  <c r="H201" i="42"/>
  <c r="I201" i="42"/>
  <c r="J201" i="42"/>
  <c r="K201" i="42"/>
  <c r="L201" i="42"/>
  <c r="M201" i="42"/>
  <c r="N201" i="42"/>
  <c r="O201" i="42"/>
  <c r="P201" i="42"/>
  <c r="Q201" i="42"/>
  <c r="R201" i="42"/>
  <c r="S201" i="42"/>
  <c r="T201" i="42"/>
  <c r="U201" i="42"/>
  <c r="V201" i="42"/>
  <c r="H202" i="42"/>
  <c r="I202" i="42"/>
  <c r="J202" i="42"/>
  <c r="K202" i="42"/>
  <c r="L202" i="42"/>
  <c r="M202" i="42"/>
  <c r="N202" i="42"/>
  <c r="O202" i="42"/>
  <c r="P202" i="42"/>
  <c r="Q202" i="42"/>
  <c r="R202" i="42"/>
  <c r="S202" i="42"/>
  <c r="T202" i="42"/>
  <c r="U202" i="42"/>
  <c r="V202" i="42"/>
  <c r="H203" i="42"/>
  <c r="I203" i="42"/>
  <c r="J203" i="42"/>
  <c r="K203" i="42"/>
  <c r="L203" i="42"/>
  <c r="M203" i="42"/>
  <c r="N203" i="42"/>
  <c r="O203" i="42"/>
  <c r="P203" i="42"/>
  <c r="Q203" i="42"/>
  <c r="R203" i="42"/>
  <c r="S203" i="42"/>
  <c r="T203" i="42"/>
  <c r="U203" i="42"/>
  <c r="V203" i="42"/>
  <c r="H204" i="42"/>
  <c r="I204" i="42"/>
  <c r="J204" i="42"/>
  <c r="K204" i="42"/>
  <c r="L204" i="42"/>
  <c r="M204" i="42"/>
  <c r="N204" i="42"/>
  <c r="O204" i="42"/>
  <c r="P204" i="42"/>
  <c r="Q204" i="42"/>
  <c r="R204" i="42"/>
  <c r="S204" i="42"/>
  <c r="T204" i="42"/>
  <c r="U204" i="42"/>
  <c r="V204" i="42"/>
  <c r="H205" i="42"/>
  <c r="I205" i="42"/>
  <c r="J205" i="42"/>
  <c r="K205" i="42"/>
  <c r="L205" i="42"/>
  <c r="M205" i="42"/>
  <c r="N205" i="42"/>
  <c r="O205" i="42"/>
  <c r="P205" i="42"/>
  <c r="Q205" i="42"/>
  <c r="R205" i="42"/>
  <c r="S205" i="42"/>
  <c r="T205" i="42"/>
  <c r="U205" i="42"/>
  <c r="V205" i="42"/>
  <c r="H206" i="42"/>
  <c r="I206" i="42"/>
  <c r="J206" i="42"/>
  <c r="K206" i="42"/>
  <c r="L206" i="42"/>
  <c r="M206" i="42"/>
  <c r="N206" i="42"/>
  <c r="O206" i="42"/>
  <c r="P206" i="42"/>
  <c r="Q206" i="42"/>
  <c r="R206" i="42"/>
  <c r="S206" i="42"/>
  <c r="T206" i="42"/>
  <c r="U206" i="42"/>
  <c r="V206" i="42"/>
  <c r="H207" i="42"/>
  <c r="I207" i="42"/>
  <c r="J207" i="42"/>
  <c r="K207" i="42"/>
  <c r="L207" i="42"/>
  <c r="M207" i="42"/>
  <c r="N207" i="42"/>
  <c r="O207" i="42"/>
  <c r="P207" i="42"/>
  <c r="Q207" i="42"/>
  <c r="R207" i="42"/>
  <c r="S207" i="42"/>
  <c r="T207" i="42"/>
  <c r="U207" i="42"/>
  <c r="V207" i="42"/>
  <c r="H208" i="42"/>
  <c r="I208" i="42"/>
  <c r="J208" i="42"/>
  <c r="K208" i="42"/>
  <c r="L208" i="42"/>
  <c r="M208" i="42"/>
  <c r="N208" i="42"/>
  <c r="O208" i="42"/>
  <c r="P208" i="42"/>
  <c r="Q208" i="42"/>
  <c r="R208" i="42"/>
  <c r="S208" i="42"/>
  <c r="T208" i="42"/>
  <c r="U208" i="42"/>
  <c r="V208" i="42"/>
  <c r="H209" i="42"/>
  <c r="I209" i="42"/>
  <c r="J209" i="42"/>
  <c r="K209" i="42"/>
  <c r="L209" i="42"/>
  <c r="M209" i="42"/>
  <c r="N209" i="42"/>
  <c r="O209" i="42"/>
  <c r="P209" i="42"/>
  <c r="Q209" i="42"/>
  <c r="R209" i="42"/>
  <c r="S209" i="42"/>
  <c r="T209" i="42"/>
  <c r="U209" i="42"/>
  <c r="V209" i="42"/>
  <c r="H210" i="42"/>
  <c r="I210" i="42"/>
  <c r="J210" i="42"/>
  <c r="K210" i="42"/>
  <c r="L210" i="42"/>
  <c r="M210" i="42"/>
  <c r="N210" i="42"/>
  <c r="O210" i="42"/>
  <c r="P210" i="42"/>
  <c r="Q210" i="42"/>
  <c r="R210" i="42"/>
  <c r="S210" i="42"/>
  <c r="T210" i="42"/>
  <c r="U210" i="42"/>
  <c r="V210" i="42"/>
  <c r="H211" i="42"/>
  <c r="I211" i="42"/>
  <c r="J211" i="42"/>
  <c r="K211" i="42"/>
  <c r="L211" i="42"/>
  <c r="M211" i="42"/>
  <c r="N211" i="42"/>
  <c r="O211" i="42"/>
  <c r="P211" i="42"/>
  <c r="Q211" i="42"/>
  <c r="R211" i="42"/>
  <c r="S211" i="42"/>
  <c r="T211" i="42"/>
  <c r="U211" i="42"/>
  <c r="V211" i="42"/>
  <c r="H212" i="42"/>
  <c r="I212" i="42"/>
  <c r="J212" i="42"/>
  <c r="K212" i="42"/>
  <c r="L212" i="42"/>
  <c r="M212" i="42"/>
  <c r="N212" i="42"/>
  <c r="O212" i="42"/>
  <c r="P212" i="42"/>
  <c r="Q212" i="42"/>
  <c r="R212" i="42"/>
  <c r="S212" i="42"/>
  <c r="T212" i="42"/>
  <c r="U212" i="42"/>
  <c r="V212" i="42"/>
  <c r="H213" i="42"/>
  <c r="I213" i="42"/>
  <c r="J213" i="42"/>
  <c r="K213" i="42"/>
  <c r="L213" i="42"/>
  <c r="M213" i="42"/>
  <c r="N213" i="42"/>
  <c r="O213" i="42"/>
  <c r="P213" i="42"/>
  <c r="Q213" i="42"/>
  <c r="R213" i="42"/>
  <c r="S213" i="42"/>
  <c r="T213" i="42"/>
  <c r="U213" i="42"/>
  <c r="V213" i="42"/>
  <c r="H214" i="42"/>
  <c r="I214" i="42"/>
  <c r="J214" i="42"/>
  <c r="K214" i="42"/>
  <c r="L214" i="42"/>
  <c r="M214" i="42"/>
  <c r="N214" i="42"/>
  <c r="O214" i="42"/>
  <c r="P214" i="42"/>
  <c r="Q214" i="42"/>
  <c r="R214" i="42"/>
  <c r="S214" i="42"/>
  <c r="T214" i="42"/>
  <c r="U214" i="42"/>
  <c r="V214" i="42"/>
  <c r="H215" i="42"/>
  <c r="I215" i="42"/>
  <c r="J215" i="42"/>
  <c r="K215" i="42"/>
  <c r="L215" i="42"/>
  <c r="M215" i="42"/>
  <c r="N215" i="42"/>
  <c r="O215" i="42"/>
  <c r="P215" i="42"/>
  <c r="Q215" i="42"/>
  <c r="R215" i="42"/>
  <c r="S215" i="42"/>
  <c r="T215" i="42"/>
  <c r="U215" i="42"/>
  <c r="V215" i="42"/>
  <c r="H216" i="42"/>
  <c r="I216" i="42"/>
  <c r="J216" i="42"/>
  <c r="K216" i="42"/>
  <c r="L216" i="42"/>
  <c r="M216" i="42"/>
  <c r="N216" i="42"/>
  <c r="O216" i="42"/>
  <c r="P216" i="42"/>
  <c r="Q216" i="42"/>
  <c r="R216" i="42"/>
  <c r="S216" i="42"/>
  <c r="T216" i="42"/>
  <c r="U216" i="42"/>
  <c r="V216" i="42"/>
  <c r="H217" i="42"/>
  <c r="I217" i="42"/>
  <c r="J217" i="42"/>
  <c r="K217" i="42"/>
  <c r="L217" i="42"/>
  <c r="M217" i="42"/>
  <c r="N217" i="42"/>
  <c r="O217" i="42"/>
  <c r="P217" i="42"/>
  <c r="Q217" i="42"/>
  <c r="R217" i="42"/>
  <c r="S217" i="42"/>
  <c r="T217" i="42"/>
  <c r="U217" i="42"/>
  <c r="V217" i="42"/>
  <c r="H218" i="42"/>
  <c r="I218" i="42"/>
  <c r="J218" i="42"/>
  <c r="K218" i="42"/>
  <c r="L218" i="42"/>
  <c r="M218" i="42"/>
  <c r="N218" i="42"/>
  <c r="O218" i="42"/>
  <c r="P218" i="42"/>
  <c r="Q218" i="42"/>
  <c r="R218" i="42"/>
  <c r="S218" i="42"/>
  <c r="T218" i="42"/>
  <c r="U218" i="42"/>
  <c r="V218" i="42"/>
  <c r="H219" i="42"/>
  <c r="I219" i="42"/>
  <c r="J219" i="42"/>
  <c r="K219" i="42"/>
  <c r="L219" i="42"/>
  <c r="M219" i="42"/>
  <c r="N219" i="42"/>
  <c r="O219" i="42"/>
  <c r="P219" i="42"/>
  <c r="Q219" i="42"/>
  <c r="R219" i="42"/>
  <c r="S219" i="42"/>
  <c r="T219" i="42"/>
  <c r="U219" i="42"/>
  <c r="V219" i="42"/>
  <c r="H220" i="42"/>
  <c r="I220" i="42"/>
  <c r="J220" i="42"/>
  <c r="K220" i="42"/>
  <c r="L220" i="42"/>
  <c r="M220" i="42"/>
  <c r="N220" i="42"/>
  <c r="O220" i="42"/>
  <c r="P220" i="42"/>
  <c r="Q220" i="42"/>
  <c r="R220" i="42"/>
  <c r="S220" i="42"/>
  <c r="T220" i="42"/>
  <c r="U220" i="42"/>
  <c r="V220" i="42"/>
  <c r="H221" i="42"/>
  <c r="I221" i="42"/>
  <c r="J221" i="42"/>
  <c r="K221" i="42"/>
  <c r="L221" i="42"/>
  <c r="M221" i="42"/>
  <c r="N221" i="42"/>
  <c r="O221" i="42"/>
  <c r="P221" i="42"/>
  <c r="Q221" i="42"/>
  <c r="R221" i="42"/>
  <c r="S221" i="42"/>
  <c r="T221" i="42"/>
  <c r="U221" i="42"/>
  <c r="V221" i="42"/>
  <c r="H222" i="42"/>
  <c r="I222" i="42"/>
  <c r="J222" i="42"/>
  <c r="K222" i="42"/>
  <c r="L222" i="42"/>
  <c r="M222" i="42"/>
  <c r="N222" i="42"/>
  <c r="O222" i="42"/>
  <c r="P222" i="42"/>
  <c r="Q222" i="42"/>
  <c r="R222" i="42"/>
  <c r="S222" i="42"/>
  <c r="T222" i="42"/>
  <c r="U222" i="42"/>
  <c r="V222" i="42"/>
  <c r="H223" i="42"/>
  <c r="I223" i="42"/>
  <c r="J223" i="42"/>
  <c r="K223" i="42"/>
  <c r="L223" i="42"/>
  <c r="M223" i="42"/>
  <c r="N223" i="42"/>
  <c r="O223" i="42"/>
  <c r="P223" i="42"/>
  <c r="Q223" i="42"/>
  <c r="R223" i="42"/>
  <c r="S223" i="42"/>
  <c r="T223" i="42"/>
  <c r="U223" i="42"/>
  <c r="V223" i="42"/>
  <c r="H224" i="42"/>
  <c r="I224" i="42"/>
  <c r="J224" i="42"/>
  <c r="K224" i="42"/>
  <c r="L224" i="42"/>
  <c r="M224" i="42"/>
  <c r="N224" i="42"/>
  <c r="O224" i="42"/>
  <c r="P224" i="42"/>
  <c r="Q224" i="42"/>
  <c r="R224" i="42"/>
  <c r="S224" i="42"/>
  <c r="T224" i="42"/>
  <c r="U224" i="42"/>
  <c r="V224" i="42"/>
  <c r="H225" i="42"/>
  <c r="I225" i="42"/>
  <c r="J225" i="42"/>
  <c r="K225" i="42"/>
  <c r="L225" i="42"/>
  <c r="M225" i="42"/>
  <c r="N225" i="42"/>
  <c r="O225" i="42"/>
  <c r="P225" i="42"/>
  <c r="Q225" i="42"/>
  <c r="R225" i="42"/>
  <c r="S225" i="42"/>
  <c r="T225" i="42"/>
  <c r="U225" i="42"/>
  <c r="V225" i="42"/>
  <c r="H226" i="42"/>
  <c r="I226" i="42"/>
  <c r="J226" i="42"/>
  <c r="K226" i="42"/>
  <c r="L226" i="42"/>
  <c r="M226" i="42"/>
  <c r="N226" i="42"/>
  <c r="O226" i="42"/>
  <c r="P226" i="42"/>
  <c r="Q226" i="42"/>
  <c r="R226" i="42"/>
  <c r="S226" i="42"/>
  <c r="T226" i="42"/>
  <c r="U226" i="42"/>
  <c r="V226" i="42"/>
  <c r="H227" i="42"/>
  <c r="I227" i="42"/>
  <c r="J227" i="42"/>
  <c r="K227" i="42"/>
  <c r="L227" i="42"/>
  <c r="M227" i="42"/>
  <c r="N227" i="42"/>
  <c r="O227" i="42"/>
  <c r="P227" i="42"/>
  <c r="Q227" i="42"/>
  <c r="R227" i="42"/>
  <c r="S227" i="42"/>
  <c r="T227" i="42"/>
  <c r="U227" i="42"/>
  <c r="V227" i="42"/>
  <c r="H228" i="42"/>
  <c r="I228" i="42"/>
  <c r="J228" i="42"/>
  <c r="K228" i="42"/>
  <c r="L228" i="42"/>
  <c r="M228" i="42"/>
  <c r="N228" i="42"/>
  <c r="O228" i="42"/>
  <c r="P228" i="42"/>
  <c r="Q228" i="42"/>
  <c r="R228" i="42"/>
  <c r="S228" i="42"/>
  <c r="T228" i="42"/>
  <c r="U228" i="42"/>
  <c r="V228" i="42"/>
  <c r="H229" i="42"/>
  <c r="I229" i="42"/>
  <c r="J229" i="42"/>
  <c r="K229" i="42"/>
  <c r="L229" i="42"/>
  <c r="M229" i="42"/>
  <c r="N229" i="42"/>
  <c r="O229" i="42"/>
  <c r="P229" i="42"/>
  <c r="Q229" i="42"/>
  <c r="R229" i="42"/>
  <c r="S229" i="42"/>
  <c r="T229" i="42"/>
  <c r="U229" i="42"/>
  <c r="V229" i="42"/>
  <c r="H230" i="42"/>
  <c r="I230" i="42"/>
  <c r="J230" i="42"/>
  <c r="K230" i="42"/>
  <c r="L230" i="42"/>
  <c r="M230" i="42"/>
  <c r="N230" i="42"/>
  <c r="O230" i="42"/>
  <c r="P230" i="42"/>
  <c r="Q230" i="42"/>
  <c r="R230" i="42"/>
  <c r="S230" i="42"/>
  <c r="T230" i="42"/>
  <c r="U230" i="42"/>
  <c r="V230" i="42"/>
  <c r="H231" i="42"/>
  <c r="I231" i="42"/>
  <c r="J231" i="42"/>
  <c r="K231" i="42"/>
  <c r="L231" i="42"/>
  <c r="M231" i="42"/>
  <c r="N231" i="42"/>
  <c r="O231" i="42"/>
  <c r="P231" i="42"/>
  <c r="Q231" i="42"/>
  <c r="R231" i="42"/>
  <c r="S231" i="42"/>
  <c r="T231" i="42"/>
  <c r="U231" i="42"/>
  <c r="V231" i="42"/>
  <c r="H232" i="42"/>
  <c r="I232" i="42"/>
  <c r="J232" i="42"/>
  <c r="K232" i="42"/>
  <c r="L232" i="42"/>
  <c r="M232" i="42"/>
  <c r="N232" i="42"/>
  <c r="O232" i="42"/>
  <c r="P232" i="42"/>
  <c r="Q232" i="42"/>
  <c r="R232" i="42"/>
  <c r="S232" i="42"/>
  <c r="T232" i="42"/>
  <c r="U232" i="42"/>
  <c r="V232" i="42"/>
  <c r="H233" i="42"/>
  <c r="I233" i="42"/>
  <c r="J233" i="42"/>
  <c r="K233" i="42"/>
  <c r="L233" i="42"/>
  <c r="M233" i="42"/>
  <c r="N233" i="42"/>
  <c r="O233" i="42"/>
  <c r="P233" i="42"/>
  <c r="Q233" i="42"/>
  <c r="R233" i="42"/>
  <c r="S233" i="42"/>
  <c r="T233" i="42"/>
  <c r="U233" i="42"/>
  <c r="V233" i="42"/>
  <c r="H234" i="42"/>
  <c r="I234" i="42"/>
  <c r="J234" i="42"/>
  <c r="K234" i="42"/>
  <c r="L234" i="42"/>
  <c r="M234" i="42"/>
  <c r="N234" i="42"/>
  <c r="O234" i="42"/>
  <c r="P234" i="42"/>
  <c r="Q234" i="42"/>
  <c r="R234" i="42"/>
  <c r="S234" i="42"/>
  <c r="T234" i="42"/>
  <c r="U234" i="42"/>
  <c r="V234" i="42"/>
  <c r="H235" i="42"/>
  <c r="I235" i="42"/>
  <c r="J235" i="42"/>
  <c r="K235" i="42"/>
  <c r="L235" i="42"/>
  <c r="M235" i="42"/>
  <c r="N235" i="42"/>
  <c r="O235" i="42"/>
  <c r="P235" i="42"/>
  <c r="Q235" i="42"/>
  <c r="R235" i="42"/>
  <c r="S235" i="42"/>
  <c r="T235" i="42"/>
  <c r="U235" i="42"/>
  <c r="V235" i="42"/>
  <c r="H236" i="42"/>
  <c r="I236" i="42"/>
  <c r="J236" i="42"/>
  <c r="K236" i="42"/>
  <c r="L236" i="42"/>
  <c r="M236" i="42"/>
  <c r="N236" i="42"/>
  <c r="O236" i="42"/>
  <c r="P236" i="42"/>
  <c r="Q236" i="42"/>
  <c r="R236" i="42"/>
  <c r="S236" i="42"/>
  <c r="T236" i="42"/>
  <c r="U236" i="42"/>
  <c r="V236" i="42"/>
  <c r="H237" i="42"/>
  <c r="I237" i="42"/>
  <c r="J237" i="42"/>
  <c r="K237" i="42"/>
  <c r="L237" i="42"/>
  <c r="M237" i="42"/>
  <c r="N237" i="42"/>
  <c r="O237" i="42"/>
  <c r="P237" i="42"/>
  <c r="Q237" i="42"/>
  <c r="R237" i="42"/>
  <c r="S237" i="42"/>
  <c r="T237" i="42"/>
  <c r="U237" i="42"/>
  <c r="V237" i="42"/>
  <c r="H238" i="42"/>
  <c r="I238" i="42"/>
  <c r="J238" i="42"/>
  <c r="K238" i="42"/>
  <c r="L238" i="42"/>
  <c r="M238" i="42"/>
  <c r="N238" i="42"/>
  <c r="O238" i="42"/>
  <c r="P238" i="42"/>
  <c r="Q238" i="42"/>
  <c r="R238" i="42"/>
  <c r="S238" i="42"/>
  <c r="T238" i="42"/>
  <c r="U238" i="42"/>
  <c r="V238" i="42"/>
  <c r="H239" i="42"/>
  <c r="I239" i="42"/>
  <c r="J239" i="42"/>
  <c r="K239" i="42"/>
  <c r="L239" i="42"/>
  <c r="M239" i="42"/>
  <c r="N239" i="42"/>
  <c r="O239" i="42"/>
  <c r="P239" i="42"/>
  <c r="Q239" i="42"/>
  <c r="R239" i="42"/>
  <c r="S239" i="42"/>
  <c r="T239" i="42"/>
  <c r="U239" i="42"/>
  <c r="V239" i="42"/>
  <c r="H240" i="42"/>
  <c r="I240" i="42"/>
  <c r="J240" i="42"/>
  <c r="K240" i="42"/>
  <c r="L240" i="42"/>
  <c r="M240" i="42"/>
  <c r="N240" i="42"/>
  <c r="O240" i="42"/>
  <c r="P240" i="42"/>
  <c r="Q240" i="42"/>
  <c r="R240" i="42"/>
  <c r="S240" i="42"/>
  <c r="T240" i="42"/>
  <c r="U240" i="42"/>
  <c r="V240" i="42"/>
  <c r="H241" i="42"/>
  <c r="I241" i="42"/>
  <c r="J241" i="42"/>
  <c r="K241" i="42"/>
  <c r="L241" i="42"/>
  <c r="M241" i="42"/>
  <c r="N241" i="42"/>
  <c r="O241" i="42"/>
  <c r="P241" i="42"/>
  <c r="Q241" i="42"/>
  <c r="R241" i="42"/>
  <c r="S241" i="42"/>
  <c r="T241" i="42"/>
  <c r="U241" i="42"/>
  <c r="V241" i="42"/>
  <c r="H242" i="42"/>
  <c r="I242" i="42"/>
  <c r="J242" i="42"/>
  <c r="K242" i="42"/>
  <c r="L242" i="42"/>
  <c r="M242" i="42"/>
  <c r="N242" i="42"/>
  <c r="O242" i="42"/>
  <c r="P242" i="42"/>
  <c r="Q242" i="42"/>
  <c r="R242" i="42"/>
  <c r="S242" i="42"/>
  <c r="T242" i="42"/>
  <c r="U242" i="42"/>
  <c r="V242" i="42"/>
  <c r="H243" i="42"/>
  <c r="I243" i="42"/>
  <c r="J243" i="42"/>
  <c r="K243" i="42"/>
  <c r="L243" i="42"/>
  <c r="M243" i="42"/>
  <c r="N243" i="42"/>
  <c r="O243" i="42"/>
  <c r="P243" i="42"/>
  <c r="Q243" i="42"/>
  <c r="R243" i="42"/>
  <c r="S243" i="42"/>
  <c r="T243" i="42"/>
  <c r="U243" i="42"/>
  <c r="V243" i="42"/>
  <c r="H244" i="42"/>
  <c r="I244" i="42"/>
  <c r="J244" i="42"/>
  <c r="K244" i="42"/>
  <c r="L244" i="42"/>
  <c r="M244" i="42"/>
  <c r="N244" i="42"/>
  <c r="O244" i="42"/>
  <c r="P244" i="42"/>
  <c r="Q244" i="42"/>
  <c r="R244" i="42"/>
  <c r="S244" i="42"/>
  <c r="T244" i="42"/>
  <c r="U244" i="42"/>
  <c r="V244" i="42"/>
  <c r="H245" i="42"/>
  <c r="I245" i="42"/>
  <c r="J245" i="42"/>
  <c r="K245" i="42"/>
  <c r="L245" i="42"/>
  <c r="M245" i="42"/>
  <c r="N245" i="42"/>
  <c r="O245" i="42"/>
  <c r="P245" i="42"/>
  <c r="Q245" i="42"/>
  <c r="R245" i="42"/>
  <c r="S245" i="42"/>
  <c r="T245" i="42"/>
  <c r="U245" i="42"/>
  <c r="V245" i="42"/>
  <c r="H246" i="42"/>
  <c r="I246" i="42"/>
  <c r="J246" i="42"/>
  <c r="K246" i="42"/>
  <c r="L246" i="42"/>
  <c r="M246" i="42"/>
  <c r="N246" i="42"/>
  <c r="O246" i="42"/>
  <c r="P246" i="42"/>
  <c r="Q246" i="42"/>
  <c r="R246" i="42"/>
  <c r="S246" i="42"/>
  <c r="T246" i="42"/>
  <c r="U246" i="42"/>
  <c r="V246" i="42"/>
  <c r="H247" i="42"/>
  <c r="I247" i="42"/>
  <c r="J247" i="42"/>
  <c r="K247" i="42"/>
  <c r="L247" i="42"/>
  <c r="M247" i="42"/>
  <c r="N247" i="42"/>
  <c r="O247" i="42"/>
  <c r="P247" i="42"/>
  <c r="Q247" i="42"/>
  <c r="R247" i="42"/>
  <c r="S247" i="42"/>
  <c r="T247" i="42"/>
  <c r="U247" i="42"/>
  <c r="V247" i="42"/>
  <c r="H248" i="42"/>
  <c r="I248" i="42"/>
  <c r="J248" i="42"/>
  <c r="K248" i="42"/>
  <c r="L248" i="42"/>
  <c r="M248" i="42"/>
  <c r="N248" i="42"/>
  <c r="O248" i="42"/>
  <c r="P248" i="42"/>
  <c r="Q248" i="42"/>
  <c r="R248" i="42"/>
  <c r="S248" i="42"/>
  <c r="T248" i="42"/>
  <c r="U248" i="42"/>
  <c r="V248" i="42"/>
  <c r="I170" i="42"/>
  <c r="J170" i="42"/>
  <c r="K170" i="42"/>
  <c r="L170" i="42"/>
  <c r="M170" i="42"/>
  <c r="N170" i="42"/>
  <c r="O170" i="42"/>
  <c r="P170" i="42"/>
  <c r="Q170" i="42"/>
  <c r="R170" i="42"/>
  <c r="S170" i="42"/>
  <c r="T170" i="42"/>
  <c r="U170" i="42"/>
  <c r="V170" i="42"/>
  <c r="H170" i="42"/>
  <c r="L1" i="42" l="1"/>
  <c r="K2" i="42"/>
  <c r="O69" i="20"/>
  <c r="G69" i="20"/>
  <c r="N69" i="20"/>
  <c r="F69" i="20"/>
  <c r="L69" i="20"/>
  <c r="E69" i="20"/>
  <c r="D69" i="20"/>
  <c r="K69" i="20"/>
  <c r="M69" i="20"/>
  <c r="Q69" i="20"/>
  <c r="J69" i="20"/>
  <c r="P69" i="20"/>
  <c r="H69" i="20"/>
  <c r="I69" i="20"/>
  <c r="N91" i="20"/>
  <c r="F91" i="20"/>
  <c r="M91" i="20"/>
  <c r="E91" i="20"/>
  <c r="P91" i="20"/>
  <c r="L91" i="20"/>
  <c r="O91" i="20"/>
  <c r="K91" i="20"/>
  <c r="Q91" i="20"/>
  <c r="H91" i="20"/>
  <c r="D91" i="20"/>
  <c r="I91" i="20"/>
  <c r="J91" i="20"/>
  <c r="G91" i="20"/>
  <c r="K133" i="20"/>
  <c r="L133" i="20"/>
  <c r="M133" i="20"/>
  <c r="H133" i="20"/>
  <c r="P133" i="20"/>
  <c r="F133" i="20"/>
  <c r="N133" i="20"/>
  <c r="I133" i="20"/>
  <c r="Q133" i="20"/>
  <c r="G133" i="20"/>
  <c r="D133" i="20"/>
  <c r="E133" i="20"/>
  <c r="J133" i="20"/>
  <c r="O133" i="20"/>
  <c r="O97" i="20"/>
  <c r="G97" i="20"/>
  <c r="M97" i="20"/>
  <c r="E97" i="20"/>
  <c r="L97" i="20"/>
  <c r="K97" i="20"/>
  <c r="D97" i="20"/>
  <c r="F97" i="20"/>
  <c r="N97" i="20"/>
  <c r="I97" i="20"/>
  <c r="H97" i="20"/>
  <c r="Q97" i="20"/>
  <c r="P97" i="20"/>
  <c r="J97" i="20"/>
  <c r="L86" i="20"/>
  <c r="D86" i="20"/>
  <c r="K86" i="20"/>
  <c r="P86" i="20"/>
  <c r="H86" i="20"/>
  <c r="F86" i="20"/>
  <c r="O86" i="20"/>
  <c r="G86" i="20"/>
  <c r="J86" i="20"/>
  <c r="N86" i="20"/>
  <c r="I86" i="20"/>
  <c r="Q86" i="20"/>
  <c r="E86" i="20"/>
  <c r="M86" i="20"/>
  <c r="E109" i="20"/>
  <c r="P109" i="20"/>
  <c r="O109" i="20"/>
  <c r="M109" i="20"/>
  <c r="K109" i="20"/>
  <c r="G109" i="20"/>
  <c r="H109" i="20"/>
  <c r="J109" i="20"/>
  <c r="I109" i="20"/>
  <c r="Q109" i="20"/>
  <c r="L109" i="20"/>
  <c r="N109" i="20"/>
  <c r="F109" i="20"/>
  <c r="D109" i="20"/>
  <c r="J142" i="20"/>
  <c r="O142" i="20"/>
  <c r="I142" i="20"/>
  <c r="P142" i="20"/>
  <c r="Q142" i="20"/>
  <c r="D142" i="20"/>
  <c r="K142" i="20"/>
  <c r="L142" i="20"/>
  <c r="F142" i="20"/>
  <c r="E142" i="20"/>
  <c r="N142" i="20"/>
  <c r="G142" i="20"/>
  <c r="H142" i="20"/>
  <c r="M142" i="20"/>
  <c r="L138" i="20"/>
  <c r="D138" i="20"/>
  <c r="K138" i="20"/>
  <c r="N138" i="20"/>
  <c r="F138" i="20"/>
  <c r="J138" i="20"/>
  <c r="E138" i="20"/>
  <c r="H138" i="20"/>
  <c r="M138" i="20"/>
  <c r="G138" i="20"/>
  <c r="P138" i="20"/>
  <c r="O138" i="20"/>
  <c r="I138" i="20"/>
  <c r="Q138" i="20"/>
  <c r="L124" i="20"/>
  <c r="D124" i="20"/>
  <c r="J124" i="20"/>
  <c r="E124" i="20"/>
  <c r="G124" i="20"/>
  <c r="K124" i="20"/>
  <c r="M124" i="20"/>
  <c r="F124" i="20"/>
  <c r="O124" i="20"/>
  <c r="I124" i="20"/>
  <c r="N124" i="20"/>
  <c r="Q124" i="20"/>
  <c r="P124" i="20"/>
  <c r="H124" i="20"/>
  <c r="C145" i="20"/>
  <c r="Q64" i="20"/>
  <c r="K64" i="20"/>
  <c r="E64" i="20"/>
  <c r="L64" i="20"/>
  <c r="D64" i="20"/>
  <c r="O64" i="20"/>
  <c r="P64" i="20"/>
  <c r="H64" i="20"/>
  <c r="G64" i="20"/>
  <c r="J64" i="20"/>
  <c r="F64" i="20"/>
  <c r="N64" i="20"/>
  <c r="I64" i="20"/>
  <c r="M64" i="20"/>
  <c r="I65" i="20"/>
  <c r="H65" i="20"/>
  <c r="Q65" i="20"/>
  <c r="O65" i="20"/>
  <c r="G65" i="20"/>
  <c r="F65" i="20"/>
  <c r="M65" i="20"/>
  <c r="E65" i="20"/>
  <c r="P65" i="20"/>
  <c r="L65" i="20"/>
  <c r="D65" i="20"/>
  <c r="J65" i="20"/>
  <c r="K65" i="20"/>
  <c r="N65" i="20"/>
  <c r="P74" i="20"/>
  <c r="O74" i="20"/>
  <c r="G74" i="20"/>
  <c r="M74" i="20"/>
  <c r="E74" i="20"/>
  <c r="N74" i="20"/>
  <c r="L74" i="20"/>
  <c r="K74" i="20"/>
  <c r="J74" i="20"/>
  <c r="H74" i="20"/>
  <c r="D74" i="20"/>
  <c r="F74" i="20"/>
  <c r="Q74" i="20"/>
  <c r="I74" i="20"/>
  <c r="H92" i="20"/>
  <c r="O92" i="20"/>
  <c r="K92" i="20"/>
  <c r="G92" i="20"/>
  <c r="J92" i="20"/>
  <c r="N92" i="20"/>
  <c r="F92" i="20"/>
  <c r="M92" i="20"/>
  <c r="P92" i="20"/>
  <c r="L92" i="20"/>
  <c r="Q92" i="20"/>
  <c r="E92" i="20"/>
  <c r="D92" i="20"/>
  <c r="I92" i="20"/>
  <c r="L102" i="20"/>
  <c r="D102" i="20"/>
  <c r="K102" i="20"/>
  <c r="J102" i="20"/>
  <c r="P102" i="20"/>
  <c r="H102" i="20"/>
  <c r="G102" i="20"/>
  <c r="O102" i="20"/>
  <c r="E102" i="20"/>
  <c r="N102" i="20"/>
  <c r="F102" i="20"/>
  <c r="Q102" i="20"/>
  <c r="M102" i="20"/>
  <c r="I102" i="20"/>
  <c r="L132" i="20"/>
  <c r="D132" i="20"/>
  <c r="Q132" i="20"/>
  <c r="J132" i="20"/>
  <c r="G132" i="20"/>
  <c r="O132" i="20"/>
  <c r="H132" i="20"/>
  <c r="P132" i="20"/>
  <c r="K132" i="20"/>
  <c r="E132" i="20"/>
  <c r="F132" i="20"/>
  <c r="I132" i="20"/>
  <c r="M132" i="20"/>
  <c r="N132" i="20"/>
  <c r="Q119" i="20"/>
  <c r="N119" i="20"/>
  <c r="P119" i="20"/>
  <c r="K119" i="20"/>
  <c r="F119" i="20"/>
  <c r="H119" i="20"/>
  <c r="M119" i="20"/>
  <c r="E119" i="20"/>
  <c r="I119" i="20"/>
  <c r="L119" i="20"/>
  <c r="O119" i="20"/>
  <c r="D119" i="20"/>
  <c r="G119" i="20"/>
  <c r="J119" i="20"/>
  <c r="M121" i="20"/>
  <c r="E121" i="20"/>
  <c r="L121" i="20"/>
  <c r="D121" i="20"/>
  <c r="K121" i="20"/>
  <c r="G121" i="20"/>
  <c r="O121" i="20"/>
  <c r="J121" i="20"/>
  <c r="H121" i="20"/>
  <c r="F121" i="20"/>
  <c r="P121" i="20"/>
  <c r="I121" i="20"/>
  <c r="N121" i="20"/>
  <c r="Q121" i="20"/>
  <c r="K123" i="20"/>
  <c r="J123" i="20"/>
  <c r="E123" i="20"/>
  <c r="M123" i="20"/>
  <c r="F123" i="20"/>
  <c r="H123" i="20"/>
  <c r="D123" i="20"/>
  <c r="N123" i="20"/>
  <c r="G123" i="20"/>
  <c r="P123" i="20"/>
  <c r="L123" i="20"/>
  <c r="O123" i="20"/>
  <c r="Q123" i="20"/>
  <c r="I123" i="20"/>
  <c r="P84" i="20"/>
  <c r="I84" i="20"/>
  <c r="J84" i="20"/>
  <c r="L84" i="20"/>
  <c r="E84" i="20"/>
  <c r="K84" i="20"/>
  <c r="Q84" i="20"/>
  <c r="O84" i="20"/>
  <c r="D84" i="20"/>
  <c r="G84" i="20"/>
  <c r="F84" i="20"/>
  <c r="N84" i="20"/>
  <c r="H84" i="20"/>
  <c r="M84" i="20"/>
  <c r="Q111" i="20"/>
  <c r="N111" i="20"/>
  <c r="M111" i="20"/>
  <c r="I111" i="20"/>
  <c r="F111" i="20"/>
  <c r="E111" i="20"/>
  <c r="D111" i="20"/>
  <c r="G111" i="20"/>
  <c r="K111" i="20"/>
  <c r="J111" i="20"/>
  <c r="P111" i="20"/>
  <c r="H111" i="20"/>
  <c r="O111" i="20"/>
  <c r="L111" i="20"/>
  <c r="I71" i="20"/>
  <c r="G71" i="20"/>
  <c r="Q71" i="20"/>
  <c r="N71" i="20"/>
  <c r="F71" i="20"/>
  <c r="E71" i="20"/>
  <c r="O71" i="20"/>
  <c r="L71" i="20"/>
  <c r="D71" i="20"/>
  <c r="P71" i="20"/>
  <c r="J71" i="20"/>
  <c r="H71" i="20"/>
  <c r="K71" i="20"/>
  <c r="M71" i="20"/>
  <c r="P82" i="20"/>
  <c r="H82" i="20"/>
  <c r="O82" i="20"/>
  <c r="G82" i="20"/>
  <c r="M82" i="20"/>
  <c r="E82" i="20"/>
  <c r="J82" i="20"/>
  <c r="F82" i="20"/>
  <c r="D82" i="20"/>
  <c r="K82" i="20"/>
  <c r="L82" i="20"/>
  <c r="N82" i="20"/>
  <c r="I82" i="20"/>
  <c r="Q82" i="20"/>
  <c r="Q100" i="20"/>
  <c r="G100" i="20"/>
  <c r="J100" i="20"/>
  <c r="N100" i="20"/>
  <c r="P100" i="20"/>
  <c r="F100" i="20"/>
  <c r="H100" i="20"/>
  <c r="M100" i="20"/>
  <c r="E100" i="20"/>
  <c r="D100" i="20"/>
  <c r="L100" i="20"/>
  <c r="O100" i="20"/>
  <c r="K100" i="20"/>
  <c r="I100" i="20"/>
  <c r="J80" i="20"/>
  <c r="P80" i="20"/>
  <c r="N80" i="20"/>
  <c r="M80" i="20"/>
  <c r="L80" i="20"/>
  <c r="H80" i="20"/>
  <c r="D80" i="20"/>
  <c r="E80" i="20"/>
  <c r="F80" i="20"/>
  <c r="K80" i="20"/>
  <c r="I80" i="20"/>
  <c r="G80" i="20"/>
  <c r="Q80" i="20"/>
  <c r="O80" i="20"/>
  <c r="M129" i="20"/>
  <c r="E129" i="20"/>
  <c r="L129" i="20"/>
  <c r="D129" i="20"/>
  <c r="K129" i="20"/>
  <c r="G129" i="20"/>
  <c r="O129" i="20"/>
  <c r="N129" i="20"/>
  <c r="P129" i="20"/>
  <c r="Q129" i="20"/>
  <c r="J129" i="20"/>
  <c r="F129" i="20"/>
  <c r="H129" i="20"/>
  <c r="I129" i="20"/>
  <c r="K131" i="20"/>
  <c r="J131" i="20"/>
  <c r="E131" i="20"/>
  <c r="M131" i="20"/>
  <c r="P131" i="20"/>
  <c r="I131" i="20"/>
  <c r="D131" i="20"/>
  <c r="F131" i="20"/>
  <c r="G131" i="20"/>
  <c r="Q131" i="20"/>
  <c r="L131" i="20"/>
  <c r="N131" i="20"/>
  <c r="O131" i="20"/>
  <c r="H131" i="20"/>
  <c r="M75" i="20"/>
  <c r="K75" i="20"/>
  <c r="J75" i="20"/>
  <c r="I75" i="20"/>
  <c r="E75" i="20"/>
  <c r="L75" i="20"/>
  <c r="D75" i="20"/>
  <c r="P75" i="20"/>
  <c r="Q75" i="20"/>
  <c r="H75" i="20"/>
  <c r="O75" i="20"/>
  <c r="N75" i="20"/>
  <c r="G75" i="20"/>
  <c r="F75" i="20"/>
  <c r="K93" i="20"/>
  <c r="P93" i="20"/>
  <c r="G93" i="20"/>
  <c r="O93" i="20"/>
  <c r="H93" i="20"/>
  <c r="Q93" i="20"/>
  <c r="J93" i="20"/>
  <c r="N93" i="20"/>
  <c r="D93" i="20"/>
  <c r="E93" i="20"/>
  <c r="F93" i="20"/>
  <c r="I93" i="20"/>
  <c r="L93" i="20"/>
  <c r="M93" i="20"/>
  <c r="P88" i="20"/>
  <c r="H88" i="20"/>
  <c r="N88" i="20"/>
  <c r="F88" i="20"/>
  <c r="M88" i="20"/>
  <c r="L88" i="20"/>
  <c r="E88" i="20"/>
  <c r="D88" i="20"/>
  <c r="K88" i="20"/>
  <c r="I88" i="20"/>
  <c r="Q88" i="20"/>
  <c r="J88" i="20"/>
  <c r="O88" i="20"/>
  <c r="G88" i="20"/>
  <c r="M135" i="20"/>
  <c r="E135" i="20"/>
  <c r="L135" i="20"/>
  <c r="Q135" i="20"/>
  <c r="D135" i="20"/>
  <c r="O135" i="20"/>
  <c r="K135" i="20"/>
  <c r="N135" i="20"/>
  <c r="P135" i="20"/>
  <c r="G135" i="20"/>
  <c r="J135" i="20"/>
  <c r="I135" i="20"/>
  <c r="F135" i="20"/>
  <c r="H135" i="20"/>
  <c r="J68" i="20"/>
  <c r="P68" i="20"/>
  <c r="H68" i="20"/>
  <c r="O68" i="20"/>
  <c r="G68" i="20"/>
  <c r="M68" i="20"/>
  <c r="F68" i="20"/>
  <c r="E68" i="20"/>
  <c r="N68" i="20"/>
  <c r="L68" i="20"/>
  <c r="D68" i="20"/>
  <c r="K68" i="20"/>
  <c r="I68" i="20"/>
  <c r="Q68" i="20"/>
  <c r="O66" i="20"/>
  <c r="H66" i="20"/>
  <c r="G66" i="20"/>
  <c r="P66" i="20"/>
  <c r="F66" i="20"/>
  <c r="N66" i="20"/>
  <c r="J66" i="20"/>
  <c r="K66" i="20"/>
  <c r="E66" i="20"/>
  <c r="I66" i="20"/>
  <c r="D66" i="20"/>
  <c r="Q66" i="20"/>
  <c r="L66" i="20"/>
  <c r="M66" i="20"/>
  <c r="K125" i="20"/>
  <c r="G125" i="20"/>
  <c r="O125" i="20"/>
  <c r="I125" i="20"/>
  <c r="Q125" i="20"/>
  <c r="J125" i="20"/>
  <c r="D125" i="20"/>
  <c r="F125" i="20"/>
  <c r="L125" i="20"/>
  <c r="E125" i="20"/>
  <c r="N125" i="20"/>
  <c r="H125" i="20"/>
  <c r="P125" i="20"/>
  <c r="M125" i="20"/>
  <c r="P101" i="20"/>
  <c r="H101" i="20"/>
  <c r="G101" i="20"/>
  <c r="K101" i="20"/>
  <c r="F101" i="20"/>
  <c r="O101" i="20"/>
  <c r="J101" i="20"/>
  <c r="I101" i="20"/>
  <c r="N101" i="20"/>
  <c r="Q101" i="20"/>
  <c r="E101" i="20"/>
  <c r="L101" i="20"/>
  <c r="D101" i="20"/>
  <c r="M101" i="20"/>
  <c r="N79" i="20"/>
  <c r="G79" i="20"/>
  <c r="M79" i="20"/>
  <c r="I79" i="20"/>
  <c r="P79" i="20"/>
  <c r="E79" i="20"/>
  <c r="H79" i="20"/>
  <c r="O79" i="20"/>
  <c r="Q79" i="20"/>
  <c r="F79" i="20"/>
  <c r="L79" i="20"/>
  <c r="K79" i="20"/>
  <c r="D79" i="20"/>
  <c r="J79" i="20"/>
  <c r="P118" i="20"/>
  <c r="H118" i="20"/>
  <c r="O118" i="20"/>
  <c r="G118" i="20"/>
  <c r="N118" i="20"/>
  <c r="F118" i="20"/>
  <c r="M118" i="20"/>
  <c r="E118" i="20"/>
  <c r="L118" i="20"/>
  <c r="D118" i="20"/>
  <c r="J118" i="20"/>
  <c r="I118" i="20"/>
  <c r="K118" i="20"/>
  <c r="Q118" i="20"/>
  <c r="L114" i="20"/>
  <c r="D114" i="20"/>
  <c r="K114" i="20"/>
  <c r="J114" i="20"/>
  <c r="P114" i="20"/>
  <c r="H114" i="20"/>
  <c r="N114" i="20"/>
  <c r="F114" i="20"/>
  <c r="I114" i="20"/>
  <c r="Q114" i="20"/>
  <c r="G114" i="20"/>
  <c r="O114" i="20"/>
  <c r="M114" i="20"/>
  <c r="E114" i="20"/>
  <c r="F104" i="20"/>
  <c r="P104" i="20"/>
  <c r="E104" i="20"/>
  <c r="N104" i="20"/>
  <c r="D104" i="20"/>
  <c r="M104" i="20"/>
  <c r="L104" i="20"/>
  <c r="K104" i="20"/>
  <c r="H104" i="20"/>
  <c r="J104" i="20"/>
  <c r="I104" i="20"/>
  <c r="G104" i="20"/>
  <c r="Q104" i="20"/>
  <c r="O104" i="20"/>
  <c r="F87" i="20"/>
  <c r="E87" i="20"/>
  <c r="M87" i="20"/>
  <c r="N87" i="20"/>
  <c r="J87" i="20"/>
  <c r="K87" i="20"/>
  <c r="L87" i="20"/>
  <c r="H87" i="20"/>
  <c r="D87" i="20"/>
  <c r="P87" i="20"/>
  <c r="O87" i="20"/>
  <c r="Q87" i="20"/>
  <c r="G87" i="20"/>
  <c r="I87" i="20"/>
  <c r="K117" i="20"/>
  <c r="Q117" i="20"/>
  <c r="D117" i="20"/>
  <c r="H117" i="20"/>
  <c r="J117" i="20"/>
  <c r="L117" i="20"/>
  <c r="P117" i="20"/>
  <c r="I117" i="20"/>
  <c r="E117" i="20"/>
  <c r="G117" i="20"/>
  <c r="M117" i="20"/>
  <c r="O117" i="20"/>
  <c r="F117" i="20"/>
  <c r="N117" i="20"/>
  <c r="P126" i="20"/>
  <c r="H126" i="20"/>
  <c r="O126" i="20"/>
  <c r="G126" i="20"/>
  <c r="N126" i="20"/>
  <c r="F126" i="20"/>
  <c r="M126" i="20"/>
  <c r="E126" i="20"/>
  <c r="L126" i="20"/>
  <c r="D126" i="20"/>
  <c r="J126" i="20"/>
  <c r="Q126" i="20"/>
  <c r="K126" i="20"/>
  <c r="I126" i="20"/>
  <c r="G63" i="20"/>
  <c r="F62" i="20"/>
  <c r="P90" i="20"/>
  <c r="H90" i="20"/>
  <c r="O90" i="20"/>
  <c r="G90" i="20"/>
  <c r="N90" i="20"/>
  <c r="F90" i="20"/>
  <c r="M90" i="20"/>
  <c r="E90" i="20"/>
  <c r="L90" i="20"/>
  <c r="D90" i="20"/>
  <c r="K90" i="20"/>
  <c r="J90" i="20"/>
  <c r="Q90" i="20"/>
  <c r="I90" i="20"/>
  <c r="L78" i="20"/>
  <c r="D78" i="20"/>
  <c r="K78" i="20"/>
  <c r="H78" i="20"/>
  <c r="G78" i="20"/>
  <c r="F78" i="20"/>
  <c r="P78" i="20"/>
  <c r="J78" i="20"/>
  <c r="N78" i="20"/>
  <c r="O78" i="20"/>
  <c r="M78" i="20"/>
  <c r="I78" i="20"/>
  <c r="Q78" i="20"/>
  <c r="E78" i="20"/>
  <c r="N95" i="20"/>
  <c r="M95" i="20"/>
  <c r="F95" i="20"/>
  <c r="E95" i="20"/>
  <c r="Q95" i="20"/>
  <c r="J95" i="20"/>
  <c r="K95" i="20"/>
  <c r="G95" i="20"/>
  <c r="O95" i="20"/>
  <c r="H95" i="20"/>
  <c r="L95" i="20"/>
  <c r="P95" i="20"/>
  <c r="I95" i="20"/>
  <c r="D95" i="20"/>
  <c r="P134" i="20"/>
  <c r="H134" i="20"/>
  <c r="O134" i="20"/>
  <c r="G134" i="20"/>
  <c r="N134" i="20"/>
  <c r="F134" i="20"/>
  <c r="M134" i="20"/>
  <c r="E134" i="20"/>
  <c r="L134" i="20"/>
  <c r="D134" i="20"/>
  <c r="J134" i="20"/>
  <c r="Q134" i="20"/>
  <c r="K134" i="20"/>
  <c r="I134" i="20"/>
  <c r="N128" i="20"/>
  <c r="F128" i="20"/>
  <c r="M128" i="20"/>
  <c r="E128" i="20"/>
  <c r="L128" i="20"/>
  <c r="D128" i="20"/>
  <c r="K128" i="20"/>
  <c r="J128" i="20"/>
  <c r="O128" i="20"/>
  <c r="G128" i="20"/>
  <c r="P128" i="20"/>
  <c r="H128" i="20"/>
  <c r="Q128" i="20"/>
  <c r="I128" i="20"/>
  <c r="L130" i="20"/>
  <c r="D130" i="20"/>
  <c r="K130" i="20"/>
  <c r="J130" i="20"/>
  <c r="N130" i="20"/>
  <c r="F130" i="20"/>
  <c r="E130" i="20"/>
  <c r="G130" i="20"/>
  <c r="H130" i="20"/>
  <c r="Q130" i="20"/>
  <c r="M130" i="20"/>
  <c r="O130" i="20"/>
  <c r="P130" i="20"/>
  <c r="I130" i="20"/>
  <c r="AE8" i="19"/>
  <c r="AF8" i="19" s="1"/>
  <c r="AG8" i="19" s="1"/>
  <c r="AH8" i="19" s="1"/>
  <c r="AI8" i="19" s="1"/>
  <c r="AJ8" i="19" s="1"/>
  <c r="AK8" i="19" s="1"/>
  <c r="AL8" i="19" s="1"/>
  <c r="AM8" i="19" s="1"/>
  <c r="AN8" i="19" s="1"/>
  <c r="AO8" i="19" s="1"/>
  <c r="AP8" i="19" s="1"/>
  <c r="AQ8" i="19" s="1"/>
  <c r="AR8" i="19" s="1"/>
  <c r="AS8" i="19" s="1"/>
  <c r="AC10" i="19"/>
  <c r="AC11" i="19" s="1"/>
  <c r="AC12" i="19" s="1"/>
  <c r="AC13" i="19" s="1"/>
  <c r="AC14" i="19" s="1"/>
  <c r="AC15" i="19" s="1"/>
  <c r="AC16" i="19" s="1"/>
  <c r="AC17" i="19" s="1"/>
  <c r="AC18" i="19" s="1"/>
  <c r="AC19" i="19" s="1"/>
  <c r="AC20" i="19" s="1"/>
  <c r="AC21" i="19" s="1"/>
  <c r="AC22" i="19" s="1"/>
  <c r="AC23" i="19" s="1"/>
  <c r="AC24" i="19" s="1"/>
  <c r="AC25" i="19" s="1"/>
  <c r="AC26" i="19" s="1"/>
  <c r="AC27" i="19" s="1"/>
  <c r="AC28" i="19" s="1"/>
  <c r="AC29" i="19" s="1"/>
  <c r="AC30" i="19" s="1"/>
  <c r="AC31" i="19" s="1"/>
  <c r="AC32" i="19" s="1"/>
  <c r="AC33" i="19" s="1"/>
  <c r="AC34" i="19" s="1"/>
  <c r="AC35" i="19" s="1"/>
  <c r="AC36" i="19" s="1"/>
  <c r="AC37" i="19" s="1"/>
  <c r="AC38" i="19" s="1"/>
  <c r="AC39" i="19" s="1"/>
  <c r="AC40" i="19" s="1"/>
  <c r="AC41" i="19" s="1"/>
  <c r="AC42" i="19" s="1"/>
  <c r="AC43" i="19" s="1"/>
  <c r="AC44" i="19" s="1"/>
  <c r="AC45" i="19" s="1"/>
  <c r="AC46" i="19" s="1"/>
  <c r="AC47" i="19" s="1"/>
  <c r="AC48" i="19" s="1"/>
  <c r="A168" i="20"/>
  <c r="E166" i="20"/>
  <c r="F166" i="20"/>
  <c r="G166" i="20"/>
  <c r="H166" i="20"/>
  <c r="I166" i="20"/>
  <c r="J166" i="20"/>
  <c r="K166" i="20"/>
  <c r="L166" i="20"/>
  <c r="M166" i="20"/>
  <c r="N166" i="20"/>
  <c r="O166" i="20"/>
  <c r="P166" i="20"/>
  <c r="Q166" i="20"/>
  <c r="D166" i="20"/>
  <c r="C72" i="31"/>
  <c r="D72" i="31"/>
  <c r="E72" i="31"/>
  <c r="E78" i="31" l="1"/>
  <c r="E75" i="31"/>
  <c r="E76" i="31"/>
  <c r="E79" i="31"/>
  <c r="E77" i="31"/>
  <c r="D78" i="31"/>
  <c r="D76" i="31"/>
  <c r="D79" i="31"/>
  <c r="D77" i="31"/>
  <c r="D75" i="31"/>
  <c r="C78" i="31"/>
  <c r="C76" i="31"/>
  <c r="C79" i="31"/>
  <c r="C75" i="31"/>
  <c r="C77" i="31"/>
  <c r="M1" i="42"/>
  <c r="L2" i="42"/>
  <c r="H63" i="20"/>
  <c r="G62" i="20"/>
  <c r="AF7" i="19"/>
  <c r="N1" i="42" l="1"/>
  <c r="M2" i="42"/>
  <c r="H62" i="20"/>
  <c r="I63" i="20"/>
  <c r="AE7" i="19"/>
  <c r="AG7" i="19"/>
  <c r="O1" i="42" l="1"/>
  <c r="N2" i="42"/>
  <c r="J63" i="20"/>
  <c r="I62" i="20"/>
  <c r="AH7" i="19"/>
  <c r="P1" i="42" l="1"/>
  <c r="O2" i="42"/>
  <c r="K63" i="20"/>
  <c r="J62" i="20"/>
  <c r="AI7" i="19"/>
  <c r="Q1" i="42" l="1"/>
  <c r="P2" i="42"/>
  <c r="L63" i="20"/>
  <c r="K62" i="20"/>
  <c r="AJ7" i="19"/>
  <c r="R1" i="42" l="1"/>
  <c r="Q2" i="42"/>
  <c r="M63" i="20"/>
  <c r="L62" i="20"/>
  <c r="AK7" i="19"/>
  <c r="S1" i="42" l="1"/>
  <c r="R2" i="42"/>
  <c r="N63" i="20"/>
  <c r="M62" i="20"/>
  <c r="AL7" i="19"/>
  <c r="T1" i="42" l="1"/>
  <c r="S2" i="42"/>
  <c r="O63" i="20"/>
  <c r="N62" i="20"/>
  <c r="AM7" i="19"/>
  <c r="U1" i="42" l="1"/>
  <c r="T2" i="42"/>
  <c r="P63" i="20"/>
  <c r="O62" i="20"/>
  <c r="AN7" i="19"/>
  <c r="V1" i="42" l="1"/>
  <c r="V2" i="42" s="1"/>
  <c r="U2" i="42"/>
  <c r="Q63" i="20"/>
  <c r="Q62" i="20" s="1"/>
  <c r="P62" i="20"/>
  <c r="AO7" i="19"/>
  <c r="AP7" i="19" l="1"/>
  <c r="AQ7" i="19" l="1"/>
  <c r="AS7" i="19" l="1"/>
  <c r="AR7" i="19"/>
  <c r="D8" i="40" l="1"/>
  <c r="I11" i="20" l="1"/>
  <c r="I12" i="20"/>
  <c r="I13" i="20"/>
  <c r="I14" i="20"/>
  <c r="I10" i="20"/>
  <c r="D9" i="40" l="1"/>
  <c r="A71" i="31" s="1"/>
  <c r="C1" i="31"/>
  <c r="J71" i="31" l="1"/>
  <c r="J96" i="31"/>
  <c r="J127" i="31"/>
  <c r="A7" i="31"/>
  <c r="C2" i="31"/>
  <c r="C176" i="20"/>
  <c r="B11" i="40"/>
  <c r="D1" i="31"/>
  <c r="D2" i="31" l="1"/>
  <c r="D176" i="20"/>
  <c r="C161" i="20"/>
  <c r="C177" i="20"/>
  <c r="E1" i="31"/>
  <c r="E176" i="20" s="1"/>
  <c r="E212" i="20" l="1" a="1"/>
  <c r="E212" i="20" s="1"/>
  <c r="E211" i="20" a="1"/>
  <c r="E211" i="20" s="1"/>
  <c r="E210" i="20" a="1"/>
  <c r="E210" i="20" s="1"/>
  <c r="D211" i="20" a="1"/>
  <c r="D211" i="20" s="1"/>
  <c r="D212" i="20" a="1"/>
  <c r="D212" i="20" s="1"/>
  <c r="D210" i="20" a="1"/>
  <c r="D210" i="20" s="1"/>
  <c r="D177" i="20"/>
  <c r="D219" i="20"/>
  <c r="D241" i="20" s="1"/>
  <c r="D209" i="20"/>
  <c r="D161" i="20"/>
  <c r="D165" i="20" s="1"/>
  <c r="F1" i="31"/>
  <c r="F176" i="20" s="1"/>
  <c r="E2" i="31"/>
  <c r="E209" i="20" l="1"/>
  <c r="E177" i="20"/>
  <c r="E219" i="20"/>
  <c r="E241" i="20" s="1"/>
  <c r="E161" i="20"/>
  <c r="E165" i="20" s="1"/>
  <c r="F210" i="20" a="1"/>
  <c r="F210" i="20" s="1"/>
  <c r="F211" i="20" a="1"/>
  <c r="F211" i="20" s="1"/>
  <c r="F212" i="20" a="1"/>
  <c r="F212" i="20" s="1"/>
  <c r="D245" i="20"/>
  <c r="G1" i="31"/>
  <c r="G176" i="20" s="1"/>
  <c r="F2" i="31"/>
  <c r="E245" i="20" l="1"/>
  <c r="F209" i="20"/>
  <c r="F177" i="20"/>
  <c r="F219" i="20"/>
  <c r="F241" i="20" s="1"/>
  <c r="F161" i="20"/>
  <c r="F165" i="20" s="1"/>
  <c r="G210" i="20" a="1"/>
  <c r="G210" i="20" s="1"/>
  <c r="G212" i="20" a="1"/>
  <c r="G212" i="20" s="1"/>
  <c r="G211" i="20" a="1"/>
  <c r="G211" i="20" s="1"/>
  <c r="G2" i="31"/>
  <c r="H1" i="31"/>
  <c r="H176" i="20" s="1"/>
  <c r="F245" i="20" l="1"/>
  <c r="H212" i="20" a="1"/>
  <c r="H212" i="20" s="1"/>
  <c r="H210" i="20" a="1"/>
  <c r="H210" i="20" s="1"/>
  <c r="H211" i="20" a="1"/>
  <c r="H211" i="20" s="1"/>
  <c r="G209" i="20"/>
  <c r="G177" i="20"/>
  <c r="G219" i="20"/>
  <c r="G241" i="20" s="1"/>
  <c r="G161" i="20"/>
  <c r="G165" i="20" s="1"/>
  <c r="I1" i="31"/>
  <c r="I176" i="20" s="1"/>
  <c r="H2" i="31"/>
  <c r="H219" i="20" l="1"/>
  <c r="H241" i="20" s="1"/>
  <c r="H209" i="20"/>
  <c r="H177" i="20"/>
  <c r="H161" i="20"/>
  <c r="H165" i="20" s="1"/>
  <c r="I210" i="20" a="1"/>
  <c r="I210" i="20" s="1"/>
  <c r="I211" i="20" a="1"/>
  <c r="I211" i="20" s="1"/>
  <c r="I212" i="20" a="1"/>
  <c r="I212" i="20" s="1"/>
  <c r="G245" i="20"/>
  <c r="I2" i="31"/>
  <c r="J1" i="31"/>
  <c r="J176" i="20" s="1"/>
  <c r="H245" i="20" l="1"/>
  <c r="I209" i="20"/>
  <c r="I177" i="20"/>
  <c r="I219" i="20"/>
  <c r="I241" i="20" s="1"/>
  <c r="I161" i="20"/>
  <c r="I165" i="20" s="1"/>
  <c r="J210" i="20" a="1"/>
  <c r="J210" i="20" s="1"/>
  <c r="J211" i="20" a="1"/>
  <c r="J211" i="20" s="1"/>
  <c r="J212" i="20" a="1"/>
  <c r="J212" i="20" s="1"/>
  <c r="K1" i="31"/>
  <c r="K176" i="20" s="1"/>
  <c r="J2" i="31"/>
  <c r="I245" i="20" l="1"/>
  <c r="J219" i="20"/>
  <c r="J241" i="20" s="1"/>
  <c r="J209" i="20"/>
  <c r="J177" i="20"/>
  <c r="J161" i="20"/>
  <c r="J165" i="20" s="1"/>
  <c r="K211" i="20" a="1"/>
  <c r="K211" i="20" s="1"/>
  <c r="K212" i="20" a="1"/>
  <c r="K212" i="20" s="1"/>
  <c r="K210" i="20" a="1"/>
  <c r="K210" i="20" s="1"/>
  <c r="K2" i="31"/>
  <c r="L1" i="31"/>
  <c r="L176" i="20" s="1"/>
  <c r="J245" i="20" l="1"/>
  <c r="K209" i="20"/>
  <c r="K177" i="20"/>
  <c r="K219" i="20"/>
  <c r="K241" i="20" s="1"/>
  <c r="K161" i="20"/>
  <c r="K165" i="20" s="1"/>
  <c r="L212" i="20" a="1"/>
  <c r="L212" i="20" s="1"/>
  <c r="L210" i="20" a="1"/>
  <c r="L210" i="20" s="1"/>
  <c r="L211" i="20" a="1"/>
  <c r="L211" i="20" s="1"/>
  <c r="L2" i="31"/>
  <c r="M1" i="31"/>
  <c r="M176" i="20" s="1"/>
  <c r="K245" i="20" l="1"/>
  <c r="M210" i="20" a="1"/>
  <c r="M210" i="20" s="1"/>
  <c r="M211" i="20" a="1"/>
  <c r="M211" i="20" s="1"/>
  <c r="M212" i="20" a="1"/>
  <c r="M212" i="20" s="1"/>
  <c r="L209" i="20"/>
  <c r="L177" i="20"/>
  <c r="L219" i="20"/>
  <c r="L241" i="20" s="1"/>
  <c r="L161" i="20"/>
  <c r="L165" i="20" s="1"/>
  <c r="M2" i="31"/>
  <c r="N1" i="31"/>
  <c r="N176" i="20" s="1"/>
  <c r="L245" i="20" l="1"/>
  <c r="M209" i="20"/>
  <c r="M177" i="20"/>
  <c r="M219" i="20"/>
  <c r="M241" i="20" s="1"/>
  <c r="M161" i="20"/>
  <c r="M165" i="20" s="1"/>
  <c r="N210" i="20" a="1"/>
  <c r="N210" i="20" s="1"/>
  <c r="N211" i="20" a="1"/>
  <c r="N211" i="20" s="1"/>
  <c r="N212" i="20" a="1"/>
  <c r="N212" i="20" s="1"/>
  <c r="N2" i="31"/>
  <c r="O1" i="31"/>
  <c r="O176" i="20" s="1"/>
  <c r="M245" i="20" l="1"/>
  <c r="O211" i="20" a="1"/>
  <c r="O211" i="20" s="1"/>
  <c r="O210" i="20" a="1"/>
  <c r="O210" i="20" s="1"/>
  <c r="O212" i="20" a="1"/>
  <c r="O212" i="20" s="1"/>
  <c r="N209" i="20"/>
  <c r="N177" i="20"/>
  <c r="N219" i="20"/>
  <c r="N241" i="20" s="1"/>
  <c r="N161" i="20"/>
  <c r="N165" i="20" s="1"/>
  <c r="P1" i="31"/>
  <c r="P176" i="20" s="1"/>
  <c r="O2" i="31"/>
  <c r="N245" i="20" l="1"/>
  <c r="P211" i="20" a="1"/>
  <c r="P211" i="20" s="1"/>
  <c r="P210" i="20" a="1"/>
  <c r="P210" i="20" s="1"/>
  <c r="P212" i="20" a="1"/>
  <c r="P212" i="20" s="1"/>
  <c r="O219" i="20"/>
  <c r="O241" i="20" s="1"/>
  <c r="O209" i="20"/>
  <c r="O177" i="20"/>
  <c r="O161" i="20"/>
  <c r="O165" i="20" s="1"/>
  <c r="Q1" i="31"/>
  <c r="Q176" i="20" s="1"/>
  <c r="P2" i="31"/>
  <c r="P219" i="20" l="1"/>
  <c r="P241" i="20" s="1"/>
  <c r="P209" i="20"/>
  <c r="P177" i="20"/>
  <c r="P161" i="20"/>
  <c r="P165" i="20" s="1"/>
  <c r="Q212" i="20" a="1"/>
  <c r="Q212" i="20" s="1"/>
  <c r="Q210" i="20" a="1"/>
  <c r="Q210" i="20" s="1"/>
  <c r="Q211" i="20" a="1"/>
  <c r="Q211" i="20" s="1"/>
  <c r="O245" i="20"/>
  <c r="Q2" i="31"/>
  <c r="P245" i="20" l="1"/>
  <c r="Q209" i="20"/>
  <c r="Q177" i="20"/>
  <c r="Q219" i="20"/>
  <c r="Q241" i="20" s="1"/>
  <c r="Q161" i="20"/>
  <c r="Q165" i="20" s="1"/>
  <c r="D8" i="20"/>
  <c r="D9" i="20" s="1"/>
  <c r="Q245" i="20" l="1"/>
  <c r="D120" i="31" l="1"/>
  <c r="D121" i="31"/>
  <c r="D122" i="31"/>
  <c r="D123" i="31"/>
  <c r="D124" i="31"/>
  <c r="C124" i="31"/>
  <c r="C120" i="31"/>
  <c r="C121" i="31"/>
  <c r="C122" i="31"/>
  <c r="C123" i="31"/>
  <c r="A14" i="19"/>
  <c r="B14" i="19"/>
  <c r="A15" i="19"/>
  <c r="B15" i="19"/>
  <c r="A16" i="19"/>
  <c r="B16" i="19"/>
  <c r="A17" i="19"/>
  <c r="B17" i="19"/>
  <c r="A18" i="19"/>
  <c r="B18" i="19"/>
  <c r="A19" i="19"/>
  <c r="B19" i="19"/>
  <c r="A20" i="19"/>
  <c r="B20" i="19"/>
  <c r="A21" i="19"/>
  <c r="B21" i="19"/>
  <c r="A22" i="19"/>
  <c r="B22" i="19"/>
  <c r="A23" i="19"/>
  <c r="B23" i="19"/>
  <c r="A24" i="19"/>
  <c r="B24" i="19"/>
  <c r="A25" i="19"/>
  <c r="B25" i="19"/>
  <c r="A26" i="19"/>
  <c r="B26" i="19"/>
  <c r="A27" i="19"/>
  <c r="B27" i="19"/>
  <c r="A28" i="19"/>
  <c r="B28" i="19"/>
  <c r="A29" i="19"/>
  <c r="B29" i="19"/>
  <c r="A30" i="19"/>
  <c r="B30" i="19"/>
  <c r="A31" i="19"/>
  <c r="B31" i="19"/>
  <c r="A32" i="19"/>
  <c r="B32" i="19"/>
  <c r="A33" i="19"/>
  <c r="B33" i="19"/>
  <c r="A34" i="19"/>
  <c r="B34" i="19"/>
  <c r="A35" i="19"/>
  <c r="B35" i="19"/>
  <c r="A36" i="19"/>
  <c r="B36" i="19"/>
  <c r="A37" i="19"/>
  <c r="B37" i="19"/>
  <c r="A38" i="19"/>
  <c r="B38" i="19"/>
  <c r="A39" i="19"/>
  <c r="B39" i="19"/>
  <c r="A40" i="19"/>
  <c r="B40" i="19"/>
  <c r="A41" i="19"/>
  <c r="B41" i="19"/>
  <c r="A42" i="19"/>
  <c r="B42" i="19"/>
  <c r="A43" i="19"/>
  <c r="B43" i="19"/>
  <c r="A44" i="19"/>
  <c r="B44" i="19"/>
  <c r="A45" i="19"/>
  <c r="B45" i="19"/>
  <c r="A46" i="19"/>
  <c r="B46" i="19"/>
  <c r="A47" i="19"/>
  <c r="B47" i="19"/>
  <c r="A48" i="19"/>
  <c r="B48" i="19"/>
  <c r="A49" i="19"/>
  <c r="B49" i="19"/>
  <c r="A50" i="19"/>
  <c r="B50" i="19"/>
  <c r="A51" i="19"/>
  <c r="B51" i="19"/>
  <c r="A52" i="19"/>
  <c r="B52" i="19"/>
  <c r="A53" i="19"/>
  <c r="B53" i="19"/>
  <c r="A54" i="19"/>
  <c r="B54" i="19"/>
  <c r="A55" i="19"/>
  <c r="B55" i="19"/>
  <c r="A56" i="19"/>
  <c r="B56" i="19"/>
  <c r="A57" i="19"/>
  <c r="B57" i="19"/>
  <c r="A58" i="19"/>
  <c r="B58" i="19"/>
  <c r="A59" i="19"/>
  <c r="B59" i="19"/>
  <c r="A60" i="19"/>
  <c r="B60" i="19"/>
  <c r="A61" i="19"/>
  <c r="B61" i="19"/>
  <c r="A62" i="19"/>
  <c r="B62" i="19"/>
  <c r="A63" i="19"/>
  <c r="B63" i="19"/>
  <c r="A64" i="19"/>
  <c r="B64" i="19"/>
  <c r="A65" i="19"/>
  <c r="B65" i="19"/>
  <c r="A66" i="19"/>
  <c r="B66" i="19"/>
  <c r="A67" i="19"/>
  <c r="B67" i="19"/>
  <c r="A68" i="19"/>
  <c r="B68" i="19"/>
  <c r="A69" i="19"/>
  <c r="B69" i="19"/>
  <c r="A70" i="19"/>
  <c r="B70" i="19"/>
  <c r="A71" i="19"/>
  <c r="B71" i="19"/>
  <c r="A72" i="19"/>
  <c r="B72" i="19"/>
  <c r="A73" i="19"/>
  <c r="B73" i="19"/>
  <c r="A74" i="19"/>
  <c r="B74" i="19"/>
  <c r="A75" i="19"/>
  <c r="B75" i="19"/>
  <c r="A76" i="19"/>
  <c r="B76" i="19"/>
  <c r="A77" i="19"/>
  <c r="B77" i="19"/>
  <c r="A78" i="19"/>
  <c r="B78" i="19"/>
  <c r="A79" i="19"/>
  <c r="B79" i="19"/>
  <c r="A80" i="19"/>
  <c r="B80" i="19"/>
  <c r="A81" i="19"/>
  <c r="B81" i="19"/>
  <c r="A82" i="19"/>
  <c r="B82" i="19"/>
  <c r="A83" i="19"/>
  <c r="B83" i="19"/>
  <c r="A84" i="19"/>
  <c r="B84" i="19"/>
  <c r="A85" i="19"/>
  <c r="B85" i="19"/>
  <c r="A86" i="19"/>
  <c r="B86" i="19"/>
  <c r="A87" i="19"/>
  <c r="B87" i="19"/>
  <c r="A88" i="19"/>
  <c r="B88" i="19"/>
  <c r="A89" i="19"/>
  <c r="B89" i="19"/>
  <c r="A90" i="19"/>
  <c r="B90" i="19"/>
  <c r="A91" i="19"/>
  <c r="B91" i="19"/>
  <c r="A92" i="19"/>
  <c r="B92" i="19"/>
  <c r="A93" i="19"/>
  <c r="B93" i="19"/>
  <c r="A94" i="19"/>
  <c r="B94" i="19"/>
  <c r="A95" i="19"/>
  <c r="B95" i="19"/>
  <c r="A96" i="19"/>
  <c r="B96" i="19"/>
  <c r="A97" i="19"/>
  <c r="B97" i="19"/>
  <c r="A98" i="19"/>
  <c r="B98" i="19"/>
  <c r="A99" i="19"/>
  <c r="B99" i="19"/>
  <c r="A100" i="19"/>
  <c r="B100" i="19"/>
  <c r="A101" i="19"/>
  <c r="B101" i="19"/>
  <c r="A102" i="19"/>
  <c r="B102" i="19"/>
  <c r="A103" i="19"/>
  <c r="B103" i="19"/>
  <c r="A104" i="19"/>
  <c r="B104" i="19"/>
  <c r="A105" i="19"/>
  <c r="B105" i="19"/>
  <c r="A106" i="19"/>
  <c r="B106" i="19"/>
  <c r="A107" i="19"/>
  <c r="B107" i="19"/>
  <c r="A108" i="19"/>
  <c r="B108" i="19"/>
  <c r="A109" i="19"/>
  <c r="B109" i="19"/>
  <c r="A110" i="19"/>
  <c r="B110" i="19"/>
  <c r="A111" i="19"/>
  <c r="B111" i="19"/>
  <c r="A112" i="19"/>
  <c r="B112" i="19"/>
  <c r="A113" i="19"/>
  <c r="B113" i="19"/>
  <c r="A114" i="19"/>
  <c r="B114" i="19"/>
  <c r="A115" i="19"/>
  <c r="B115" i="19"/>
  <c r="A116" i="19"/>
  <c r="B116" i="19"/>
  <c r="A117" i="19"/>
  <c r="B117" i="19"/>
  <c r="A118" i="19"/>
  <c r="B118" i="19"/>
  <c r="A119" i="19"/>
  <c r="B119" i="19"/>
  <c r="A120" i="19"/>
  <c r="B120" i="19"/>
  <c r="A121" i="19"/>
  <c r="B121" i="19"/>
  <c r="A122" i="19"/>
  <c r="B122" i="19"/>
  <c r="A123" i="19"/>
  <c r="B123" i="19"/>
  <c r="A124" i="19"/>
  <c r="B124" i="19"/>
  <c r="A125" i="19"/>
  <c r="B125" i="19"/>
  <c r="A126" i="19"/>
  <c r="B126" i="19"/>
  <c r="A127" i="19"/>
  <c r="B127" i="19"/>
  <c r="A128" i="19"/>
  <c r="B128" i="19"/>
  <c r="A129" i="19"/>
  <c r="B129" i="19"/>
  <c r="A130" i="19"/>
  <c r="B130" i="19"/>
  <c r="A131" i="19"/>
  <c r="B131" i="19"/>
  <c r="A132" i="19"/>
  <c r="B132" i="19"/>
  <c r="A133" i="19"/>
  <c r="B133" i="19"/>
  <c r="A134" i="19"/>
  <c r="B134" i="19"/>
  <c r="A135" i="19"/>
  <c r="B135" i="19"/>
  <c r="A136" i="19"/>
  <c r="B136" i="19"/>
  <c r="A137" i="19"/>
  <c r="B137" i="19"/>
  <c r="A138" i="19"/>
  <c r="B138" i="19"/>
  <c r="A139" i="19"/>
  <c r="B139" i="19"/>
  <c r="A140" i="19"/>
  <c r="B140" i="19"/>
  <c r="A141" i="19"/>
  <c r="B141" i="19"/>
  <c r="A142" i="19"/>
  <c r="B142" i="19"/>
  <c r="A143" i="19"/>
  <c r="B143" i="19"/>
  <c r="A144" i="19"/>
  <c r="B144" i="19"/>
  <c r="A145" i="19"/>
  <c r="B145" i="19"/>
  <c r="A146" i="19"/>
  <c r="B146" i="19"/>
  <c r="A147" i="19"/>
  <c r="B147" i="19"/>
  <c r="A148" i="19"/>
  <c r="B148" i="19"/>
  <c r="A149" i="19"/>
  <c r="B149" i="19"/>
  <c r="A150" i="19"/>
  <c r="B150" i="19"/>
  <c r="A151" i="19"/>
  <c r="B151" i="19"/>
  <c r="A152" i="19"/>
  <c r="B152" i="19"/>
  <c r="A153" i="19"/>
  <c r="B153" i="19"/>
  <c r="A154" i="19"/>
  <c r="B154" i="19"/>
  <c r="A155" i="19"/>
  <c r="B155" i="19"/>
  <c r="A156" i="19"/>
  <c r="B156" i="19"/>
  <c r="A157" i="19"/>
  <c r="B157" i="19"/>
  <c r="A158" i="19"/>
  <c r="B158" i="19"/>
  <c r="A159" i="19"/>
  <c r="B159" i="19"/>
  <c r="A160" i="19"/>
  <c r="B160" i="19"/>
  <c r="A161" i="19"/>
  <c r="B161" i="19"/>
  <c r="A162" i="19"/>
  <c r="B162" i="19"/>
  <c r="A163" i="19"/>
  <c r="B163" i="19"/>
  <c r="A164" i="19"/>
  <c r="B164" i="19"/>
  <c r="A165" i="19"/>
  <c r="B165" i="19"/>
  <c r="A166" i="19"/>
  <c r="B166" i="19"/>
  <c r="A167" i="19"/>
  <c r="B167" i="19"/>
  <c r="A168" i="19"/>
  <c r="B168" i="19"/>
  <c r="A169" i="19"/>
  <c r="B169" i="19"/>
  <c r="A170" i="19"/>
  <c r="B170" i="19"/>
  <c r="A171" i="19"/>
  <c r="B171" i="19"/>
  <c r="A172" i="19"/>
  <c r="B172" i="19"/>
  <c r="A173" i="19"/>
  <c r="B173" i="19"/>
  <c r="A174" i="19"/>
  <c r="B174" i="19"/>
  <c r="A175" i="19"/>
  <c r="B175" i="19"/>
  <c r="A176" i="19"/>
  <c r="B176" i="19"/>
  <c r="A177" i="19"/>
  <c r="B177" i="19"/>
  <c r="A178" i="19"/>
  <c r="B178" i="19"/>
  <c r="A179" i="19"/>
  <c r="B179" i="19"/>
  <c r="A180" i="19"/>
  <c r="B180" i="19"/>
  <c r="A181" i="19"/>
  <c r="B181" i="19"/>
  <c r="A182" i="19"/>
  <c r="B182" i="19"/>
  <c r="A183" i="19"/>
  <c r="B183" i="19"/>
  <c r="A184" i="19"/>
  <c r="B184" i="19"/>
  <c r="A185" i="19"/>
  <c r="B185" i="19"/>
  <c r="A186" i="19"/>
  <c r="B186" i="19"/>
  <c r="A187" i="19"/>
  <c r="B187" i="19"/>
  <c r="A188" i="19"/>
  <c r="B188" i="19"/>
  <c r="A189" i="19"/>
  <c r="B189" i="19"/>
  <c r="A190" i="19"/>
  <c r="B190" i="19"/>
  <c r="A191" i="19"/>
  <c r="B191" i="19"/>
  <c r="A192" i="19"/>
  <c r="B192" i="19"/>
  <c r="A193" i="19"/>
  <c r="B193" i="19"/>
  <c r="A194" i="19"/>
  <c r="B194" i="19"/>
  <c r="A195" i="19"/>
  <c r="B195" i="19"/>
  <c r="A196" i="19"/>
  <c r="B196" i="19"/>
  <c r="A197" i="19"/>
  <c r="B197" i="19"/>
  <c r="A198" i="19"/>
  <c r="B198" i="19"/>
  <c r="A199" i="19"/>
  <c r="B199" i="19"/>
  <c r="A200" i="19"/>
  <c r="B200" i="19"/>
  <c r="A201" i="19"/>
  <c r="B201" i="19"/>
  <c r="A202" i="19"/>
  <c r="B202" i="19"/>
  <c r="A203" i="19"/>
  <c r="B203" i="19"/>
  <c r="A204" i="19"/>
  <c r="B204" i="19"/>
  <c r="A205" i="19"/>
  <c r="B205" i="19"/>
  <c r="A206" i="19"/>
  <c r="B206" i="19"/>
  <c r="A207" i="19"/>
  <c r="B207" i="19"/>
  <c r="A208" i="19"/>
  <c r="B208" i="19"/>
  <c r="A209" i="19"/>
  <c r="B209" i="19"/>
  <c r="A210" i="19"/>
  <c r="B210" i="19"/>
  <c r="A211" i="19"/>
  <c r="B211" i="19"/>
  <c r="A212" i="19"/>
  <c r="B212" i="19"/>
  <c r="A213" i="19"/>
  <c r="B213" i="19"/>
  <c r="A214" i="19"/>
  <c r="B214" i="19"/>
  <c r="A215" i="19"/>
  <c r="B215" i="19"/>
  <c r="A216" i="19"/>
  <c r="B216" i="19"/>
  <c r="A217" i="19"/>
  <c r="B217" i="19"/>
  <c r="A218" i="19"/>
  <c r="B218" i="19"/>
  <c r="A219" i="19"/>
  <c r="B219" i="19"/>
  <c r="A220" i="19"/>
  <c r="B220" i="19"/>
  <c r="A221" i="19"/>
  <c r="B221" i="19"/>
  <c r="A222" i="19"/>
  <c r="B222" i="19"/>
  <c r="A223" i="19"/>
  <c r="B223" i="19"/>
  <c r="A224" i="19"/>
  <c r="B224" i="19"/>
  <c r="A225" i="19"/>
  <c r="B225" i="19"/>
  <c r="A226" i="19"/>
  <c r="B226" i="19"/>
  <c r="A227" i="19"/>
  <c r="B227" i="19"/>
  <c r="A228" i="19"/>
  <c r="B228" i="19"/>
  <c r="A229" i="19"/>
  <c r="B229" i="19"/>
  <c r="A230" i="19"/>
  <c r="B230" i="19"/>
  <c r="A231" i="19"/>
  <c r="B231" i="19"/>
  <c r="A232" i="19"/>
  <c r="B232" i="19"/>
  <c r="A233" i="19"/>
  <c r="B233" i="19"/>
  <c r="A234" i="19"/>
  <c r="B234" i="19"/>
  <c r="A235" i="19"/>
  <c r="B235" i="19"/>
  <c r="A236" i="19"/>
  <c r="B236" i="19"/>
  <c r="A237" i="19"/>
  <c r="B237" i="19"/>
  <c r="A238" i="19"/>
  <c r="B238" i="19"/>
  <c r="A239" i="19"/>
  <c r="B239" i="19"/>
  <c r="A240" i="19"/>
  <c r="B240" i="19"/>
  <c r="A241" i="19"/>
  <c r="B241" i="19"/>
  <c r="A242" i="19"/>
  <c r="B242" i="19"/>
  <c r="A243" i="19"/>
  <c r="B243" i="19"/>
  <c r="A244" i="19"/>
  <c r="B244" i="19"/>
  <c r="A245" i="19"/>
  <c r="B245" i="19"/>
  <c r="A246" i="19"/>
  <c r="B246" i="19"/>
  <c r="A247" i="19"/>
  <c r="B247" i="19"/>
  <c r="A248" i="19"/>
  <c r="B248" i="19"/>
  <c r="A249" i="19"/>
  <c r="B249" i="19"/>
  <c r="A250" i="19"/>
  <c r="B250" i="19"/>
  <c r="A251" i="19"/>
  <c r="B251" i="19"/>
  <c r="A252" i="19"/>
  <c r="B252" i="19"/>
  <c r="A253" i="19"/>
  <c r="B253" i="19"/>
  <c r="A254" i="19"/>
  <c r="B254" i="19"/>
  <c r="A255" i="19"/>
  <c r="B255" i="19"/>
  <c r="A256" i="19"/>
  <c r="B256" i="19"/>
  <c r="A257" i="19"/>
  <c r="B257" i="19"/>
  <c r="A258" i="19"/>
  <c r="B258" i="19"/>
  <c r="A259" i="19"/>
  <c r="B259" i="19"/>
  <c r="A260" i="19"/>
  <c r="B260" i="19"/>
  <c r="A261" i="19"/>
  <c r="B261" i="19"/>
  <c r="A262" i="19"/>
  <c r="B262" i="19"/>
  <c r="A263" i="19"/>
  <c r="B263" i="19"/>
  <c r="A264" i="19"/>
  <c r="B264" i="19"/>
  <c r="A265" i="19"/>
  <c r="B265" i="19"/>
  <c r="A266" i="19"/>
  <c r="B266" i="19"/>
  <c r="A267" i="19"/>
  <c r="B267" i="19"/>
  <c r="A268" i="19"/>
  <c r="B268" i="19"/>
  <c r="A269" i="19"/>
  <c r="B269" i="19"/>
  <c r="A270" i="19"/>
  <c r="B270" i="19"/>
  <c r="A271" i="19"/>
  <c r="B271" i="19"/>
  <c r="A272" i="19"/>
  <c r="B272" i="19"/>
  <c r="A273" i="19"/>
  <c r="B273" i="19"/>
  <c r="A274" i="19"/>
  <c r="B274" i="19"/>
  <c r="A275" i="19"/>
  <c r="B275" i="19"/>
  <c r="A276" i="19"/>
  <c r="B276" i="19"/>
  <c r="A277" i="19"/>
  <c r="B277" i="19"/>
  <c r="A278" i="19"/>
  <c r="B278" i="19"/>
  <c r="A279" i="19"/>
  <c r="B279" i="19"/>
  <c r="A280" i="19"/>
  <c r="B280" i="19"/>
  <c r="A281" i="19"/>
  <c r="B281" i="19"/>
  <c r="A282" i="19"/>
  <c r="B282" i="19"/>
  <c r="A283" i="19"/>
  <c r="B283" i="19"/>
  <c r="A284" i="19"/>
  <c r="B284" i="19"/>
  <c r="A285" i="19"/>
  <c r="B285" i="19"/>
  <c r="A286" i="19"/>
  <c r="B286" i="19"/>
  <c r="A287" i="19"/>
  <c r="B287" i="19"/>
  <c r="A288" i="19"/>
  <c r="B288" i="19"/>
  <c r="A289" i="19"/>
  <c r="B289" i="19"/>
  <c r="A290" i="19"/>
  <c r="B290" i="19"/>
  <c r="A291" i="19"/>
  <c r="B291" i="19"/>
  <c r="A292" i="19"/>
  <c r="B292" i="19"/>
  <c r="A293" i="19"/>
  <c r="B293" i="19"/>
  <c r="A294" i="19"/>
  <c r="B294" i="19"/>
  <c r="A295" i="19"/>
  <c r="B295" i="19"/>
  <c r="A296" i="19"/>
  <c r="B296" i="19"/>
  <c r="A297" i="19"/>
  <c r="B297" i="19"/>
  <c r="A298" i="19"/>
  <c r="B298" i="19"/>
  <c r="A299" i="19"/>
  <c r="B299" i="19"/>
  <c r="A300" i="19"/>
  <c r="B300" i="19"/>
  <c r="A301" i="19"/>
  <c r="B301" i="19"/>
  <c r="A302" i="19"/>
  <c r="B302" i="19"/>
  <c r="A303" i="19"/>
  <c r="B303" i="19"/>
  <c r="A304" i="19"/>
  <c r="B304" i="19"/>
  <c r="A305" i="19"/>
  <c r="B305" i="19"/>
  <c r="A306" i="19"/>
  <c r="B306" i="19"/>
  <c r="A307" i="19"/>
  <c r="B307" i="19"/>
  <c r="A308" i="19"/>
  <c r="B308" i="19"/>
  <c r="A309" i="19"/>
  <c r="B309" i="19"/>
  <c r="A310" i="19"/>
  <c r="B310" i="19"/>
  <c r="A311" i="19"/>
  <c r="B311" i="19"/>
  <c r="A312" i="19"/>
  <c r="B312" i="19"/>
  <c r="A313" i="19"/>
  <c r="B313" i="19"/>
  <c r="A314" i="19"/>
  <c r="B314" i="19"/>
  <c r="A315" i="19"/>
  <c r="B315" i="19"/>
  <c r="A316" i="19"/>
  <c r="B316" i="19"/>
  <c r="A317" i="19"/>
  <c r="B317" i="19"/>
  <c r="A318" i="19"/>
  <c r="B318" i="19"/>
  <c r="A319" i="19"/>
  <c r="B319" i="19"/>
  <c r="A320" i="19"/>
  <c r="B320" i="19"/>
  <c r="A321" i="19"/>
  <c r="B321" i="19"/>
  <c r="A322" i="19"/>
  <c r="B322" i="19"/>
  <c r="A323" i="19"/>
  <c r="B323" i="19"/>
  <c r="A324" i="19"/>
  <c r="B324" i="19"/>
  <c r="A325" i="19"/>
  <c r="B325" i="19"/>
  <c r="A326" i="19"/>
  <c r="B326" i="19"/>
  <c r="A327" i="19"/>
  <c r="B327" i="19"/>
  <c r="A328" i="19"/>
  <c r="B328" i="19"/>
  <c r="A329" i="19"/>
  <c r="B329" i="19"/>
  <c r="A330" i="19"/>
  <c r="B330" i="19"/>
  <c r="A331" i="19"/>
  <c r="B331" i="19"/>
  <c r="A332" i="19"/>
  <c r="B332" i="19"/>
  <c r="A333" i="19"/>
  <c r="B333" i="19"/>
  <c r="A334" i="19"/>
  <c r="B334" i="19"/>
  <c r="A335" i="19"/>
  <c r="B335" i="19"/>
  <c r="A336" i="19"/>
  <c r="B336" i="19"/>
  <c r="A337" i="19"/>
  <c r="B337" i="19"/>
  <c r="A338" i="19"/>
  <c r="B338" i="19"/>
  <c r="A339" i="19"/>
  <c r="B339" i="19"/>
  <c r="A340" i="19"/>
  <c r="B340" i="19"/>
  <c r="A341" i="19"/>
  <c r="B341" i="19"/>
  <c r="A342" i="19"/>
  <c r="B342" i="19"/>
  <c r="A343" i="19"/>
  <c r="B343" i="19"/>
  <c r="A344" i="19"/>
  <c r="B344" i="19"/>
  <c r="A345" i="19"/>
  <c r="B345" i="19"/>
  <c r="A346" i="19"/>
  <c r="B346" i="19"/>
  <c r="A347" i="19"/>
  <c r="B347" i="19"/>
  <c r="A348" i="19"/>
  <c r="B348" i="19"/>
  <c r="A349" i="19"/>
  <c r="B349" i="19"/>
  <c r="A350" i="19"/>
  <c r="B350" i="19"/>
  <c r="A351" i="19"/>
  <c r="B351" i="19"/>
  <c r="A352" i="19"/>
  <c r="B352" i="19"/>
  <c r="A353" i="19"/>
  <c r="B353" i="19"/>
  <c r="A354" i="19"/>
  <c r="B354" i="19"/>
  <c r="A355" i="19"/>
  <c r="B355" i="19"/>
  <c r="A356" i="19"/>
  <c r="B356" i="19"/>
  <c r="A357" i="19"/>
  <c r="B357" i="19"/>
  <c r="A358" i="19"/>
  <c r="B358" i="19"/>
  <c r="A359" i="19"/>
  <c r="B359" i="19"/>
  <c r="A360" i="19"/>
  <c r="B360" i="19"/>
  <c r="A361" i="19"/>
  <c r="B361" i="19"/>
  <c r="A362" i="19"/>
  <c r="B362" i="19"/>
  <c r="A363" i="19"/>
  <c r="B363" i="19"/>
  <c r="A364" i="19"/>
  <c r="B364" i="19"/>
  <c r="A365" i="19"/>
  <c r="B365" i="19"/>
  <c r="A366" i="19"/>
  <c r="B366" i="19"/>
  <c r="A367" i="19"/>
  <c r="B367" i="19"/>
  <c r="A368" i="19"/>
  <c r="B368" i="19"/>
  <c r="A369" i="19"/>
  <c r="B369" i="19"/>
  <c r="A370" i="19"/>
  <c r="B370" i="19"/>
  <c r="A371" i="19"/>
  <c r="B371" i="19"/>
  <c r="A372" i="19"/>
  <c r="B372" i="19"/>
  <c r="A373" i="19"/>
  <c r="B373" i="19"/>
  <c r="A374" i="19"/>
  <c r="B374" i="19"/>
  <c r="A375" i="19"/>
  <c r="B375" i="19"/>
  <c r="A376" i="19"/>
  <c r="B376" i="19"/>
  <c r="A377" i="19"/>
  <c r="B377" i="19"/>
  <c r="A378" i="19"/>
  <c r="B378" i="19"/>
  <c r="A379" i="19"/>
  <c r="B379" i="19"/>
  <c r="A380" i="19"/>
  <c r="B380" i="19"/>
  <c r="A381" i="19"/>
  <c r="B381" i="19"/>
  <c r="A382" i="19"/>
  <c r="B382" i="19"/>
  <c r="A383" i="19"/>
  <c r="B383" i="19"/>
  <c r="A384" i="19"/>
  <c r="B384" i="19"/>
  <c r="A385" i="19"/>
  <c r="B385" i="19"/>
  <c r="A386" i="19"/>
  <c r="B386" i="19"/>
  <c r="A387" i="19"/>
  <c r="B387" i="19"/>
  <c r="A388" i="19"/>
  <c r="B388" i="19"/>
  <c r="A389" i="19"/>
  <c r="B389" i="19"/>
  <c r="A390" i="19"/>
  <c r="B390" i="19"/>
  <c r="A391" i="19"/>
  <c r="B391" i="19"/>
  <c r="A392" i="19"/>
  <c r="B392" i="19"/>
  <c r="A393" i="19"/>
  <c r="B393" i="19"/>
  <c r="A394" i="19"/>
  <c r="B394" i="19"/>
  <c r="A395" i="19"/>
  <c r="B395" i="19"/>
  <c r="A396" i="19"/>
  <c r="B396" i="19"/>
  <c r="A397" i="19"/>
  <c r="B397" i="19"/>
  <c r="A398" i="19"/>
  <c r="B398" i="19"/>
  <c r="A399" i="19"/>
  <c r="B399" i="19"/>
  <c r="A400" i="19"/>
  <c r="B400" i="19"/>
  <c r="A401" i="19"/>
  <c r="B401" i="19"/>
  <c r="A402" i="19"/>
  <c r="B402" i="19"/>
  <c r="A403" i="19"/>
  <c r="B403" i="19"/>
  <c r="A404" i="19"/>
  <c r="B404" i="19"/>
  <c r="A405" i="19"/>
  <c r="B405" i="19"/>
  <c r="A406" i="19"/>
  <c r="B406" i="19"/>
  <c r="A407" i="19"/>
  <c r="B407" i="19"/>
  <c r="A408" i="19"/>
  <c r="B408" i="19"/>
  <c r="A409" i="19"/>
  <c r="B409" i="19"/>
  <c r="A410" i="19"/>
  <c r="B410" i="19"/>
  <c r="A411" i="19"/>
  <c r="B411" i="19"/>
  <c r="A412" i="19"/>
  <c r="B412" i="19"/>
  <c r="A413" i="19"/>
  <c r="B413" i="19"/>
  <c r="A414" i="19"/>
  <c r="B414" i="19"/>
  <c r="A415" i="19"/>
  <c r="B415" i="19"/>
  <c r="A416" i="19"/>
  <c r="B416" i="19"/>
  <c r="A417" i="19"/>
  <c r="B417" i="19"/>
  <c r="A418" i="19"/>
  <c r="B418" i="19"/>
  <c r="A419" i="19"/>
  <c r="B419" i="19"/>
  <c r="A420" i="19"/>
  <c r="B420" i="19"/>
  <c r="A421" i="19"/>
  <c r="B421" i="19"/>
  <c r="A422" i="19"/>
  <c r="B422" i="19"/>
  <c r="A423" i="19"/>
  <c r="B423" i="19"/>
  <c r="A424" i="19"/>
  <c r="B424" i="19"/>
  <c r="A425" i="19"/>
  <c r="B425" i="19"/>
  <c r="A426" i="19"/>
  <c r="B426" i="19"/>
  <c r="A427" i="19"/>
  <c r="B427" i="19"/>
  <c r="A428" i="19"/>
  <c r="B428" i="19"/>
  <c r="A429" i="19"/>
  <c r="B429" i="19"/>
  <c r="A430" i="19"/>
  <c r="B430" i="19"/>
  <c r="A431" i="19"/>
  <c r="B431" i="19"/>
  <c r="A432" i="19"/>
  <c r="B432" i="19"/>
  <c r="A433" i="19"/>
  <c r="B433" i="19"/>
  <c r="A434" i="19"/>
  <c r="B434" i="19"/>
  <c r="A435" i="19"/>
  <c r="B435" i="19"/>
  <c r="A436" i="19"/>
  <c r="B436" i="19"/>
  <c r="A437" i="19"/>
  <c r="B437" i="19"/>
  <c r="A438" i="19"/>
  <c r="B438" i="19"/>
  <c r="A439" i="19"/>
  <c r="B439" i="19"/>
  <c r="A440" i="19"/>
  <c r="B440" i="19"/>
  <c r="A441" i="19"/>
  <c r="B441" i="19"/>
  <c r="A442" i="19"/>
  <c r="B442" i="19"/>
  <c r="A443" i="19"/>
  <c r="B443" i="19"/>
  <c r="A444" i="19"/>
  <c r="B444" i="19"/>
  <c r="A445" i="19"/>
  <c r="B445" i="19"/>
  <c r="A446" i="19"/>
  <c r="B446" i="19"/>
  <c r="A447" i="19"/>
  <c r="B447" i="19"/>
  <c r="A448" i="19"/>
  <c r="B448" i="19"/>
  <c r="A449" i="19"/>
  <c r="B449" i="19"/>
  <c r="A450" i="19"/>
  <c r="B450" i="19"/>
  <c r="A451" i="19"/>
  <c r="B451" i="19"/>
  <c r="A452" i="19"/>
  <c r="B452" i="19"/>
  <c r="A453" i="19"/>
  <c r="B453" i="19"/>
  <c r="A454" i="19"/>
  <c r="B454" i="19"/>
  <c r="A455" i="19"/>
  <c r="B455" i="19"/>
  <c r="A456" i="19"/>
  <c r="B456" i="19"/>
  <c r="A457" i="19"/>
  <c r="B457" i="19"/>
  <c r="A458" i="19"/>
  <c r="B458" i="19"/>
  <c r="A459" i="19"/>
  <c r="B459" i="19"/>
  <c r="A460" i="19"/>
  <c r="B460" i="19"/>
  <c r="A461" i="19"/>
  <c r="B461" i="19"/>
  <c r="A462" i="19"/>
  <c r="B462" i="19"/>
  <c r="A463" i="19"/>
  <c r="B463" i="19"/>
  <c r="A464" i="19"/>
  <c r="B464" i="19"/>
  <c r="A465" i="19"/>
  <c r="B465" i="19"/>
  <c r="A466" i="19"/>
  <c r="B466" i="19"/>
  <c r="A467" i="19"/>
  <c r="B467" i="19"/>
  <c r="A468" i="19"/>
  <c r="B468" i="19"/>
  <c r="A469" i="19"/>
  <c r="B469" i="19"/>
  <c r="A470" i="19"/>
  <c r="B470" i="19"/>
  <c r="A471" i="19"/>
  <c r="B471" i="19"/>
  <c r="A472" i="19"/>
  <c r="B472" i="19"/>
  <c r="A473" i="19"/>
  <c r="B473" i="19"/>
  <c r="A474" i="19"/>
  <c r="B474" i="19"/>
  <c r="A475" i="19"/>
  <c r="B475" i="19"/>
  <c r="A476" i="19"/>
  <c r="B476" i="19"/>
  <c r="A477" i="19"/>
  <c r="B477" i="19"/>
  <c r="A478" i="19"/>
  <c r="B478" i="19"/>
  <c r="A479" i="19"/>
  <c r="B479" i="19"/>
  <c r="A480" i="19"/>
  <c r="B480" i="19"/>
  <c r="A481" i="19"/>
  <c r="B481" i="19"/>
  <c r="D118" i="31" l="1"/>
  <c r="D117" i="31"/>
  <c r="D116" i="31"/>
  <c r="D115" i="31"/>
  <c r="D114" i="31"/>
  <c r="I27" i="39" l="1"/>
  <c r="A195" i="31"/>
  <c r="A196" i="31" s="1"/>
  <c r="A197" i="31" s="1"/>
  <c r="A198" i="31" s="1"/>
  <c r="A199" i="31" s="1"/>
  <c r="I32" i="39"/>
  <c r="I33" i="39" s="1"/>
  <c r="I34" i="39" s="1"/>
  <c r="I35" i="39" s="1"/>
  <c r="I36" i="39" s="1"/>
  <c r="I37" i="39" s="1"/>
  <c r="I38" i="39" s="1"/>
  <c r="I39" i="39" s="1"/>
  <c r="N5" i="31" l="1"/>
  <c r="B232" i="31"/>
  <c r="D31" i="39" a="1"/>
  <c r="D34" i="39" s="1"/>
  <c r="E34" i="39" s="1"/>
  <c r="D109" i="39" l="1"/>
  <c r="E109" i="39" s="1"/>
  <c r="D101" i="39"/>
  <c r="E101" i="39" s="1"/>
  <c r="D93" i="39"/>
  <c r="E93" i="39" s="1"/>
  <c r="D85" i="39"/>
  <c r="E85" i="39" s="1"/>
  <c r="D77" i="39"/>
  <c r="E77" i="39" s="1"/>
  <c r="D69" i="39"/>
  <c r="E69" i="39" s="1"/>
  <c r="D61" i="39"/>
  <c r="E61" i="39" s="1"/>
  <c r="D53" i="39"/>
  <c r="E53" i="39" s="1"/>
  <c r="D45" i="39"/>
  <c r="E45" i="39" s="1"/>
  <c r="D37" i="39"/>
  <c r="E37" i="39" s="1"/>
  <c r="D105" i="39"/>
  <c r="E105" i="39" s="1"/>
  <c r="D97" i="39"/>
  <c r="E97" i="39" s="1"/>
  <c r="D89" i="39"/>
  <c r="E89" i="39" s="1"/>
  <c r="D81" i="39"/>
  <c r="E81" i="39" s="1"/>
  <c r="D73" i="39"/>
  <c r="E73" i="39" s="1"/>
  <c r="D65" i="39"/>
  <c r="E65" i="39" s="1"/>
  <c r="D57" i="39"/>
  <c r="E57" i="39" s="1"/>
  <c r="D49" i="39"/>
  <c r="E49" i="39" s="1"/>
  <c r="D41" i="39"/>
  <c r="E41" i="39" s="1"/>
  <c r="D33" i="39"/>
  <c r="E33" i="39" s="1"/>
  <c r="D104" i="39"/>
  <c r="E104" i="39" s="1"/>
  <c r="D96" i="39"/>
  <c r="E96" i="39" s="1"/>
  <c r="D88" i="39"/>
  <c r="E88" i="39" s="1"/>
  <c r="D80" i="39"/>
  <c r="E80" i="39" s="1"/>
  <c r="D72" i="39"/>
  <c r="E72" i="39" s="1"/>
  <c r="D64" i="39"/>
  <c r="E64" i="39" s="1"/>
  <c r="D56" i="39"/>
  <c r="E56" i="39" s="1"/>
  <c r="D48" i="39"/>
  <c r="E48" i="39" s="1"/>
  <c r="D40" i="39"/>
  <c r="E40" i="39" s="1"/>
  <c r="D32" i="39"/>
  <c r="E32" i="39" s="1"/>
  <c r="D103" i="39"/>
  <c r="E103" i="39" s="1"/>
  <c r="D95" i="39"/>
  <c r="E95" i="39" s="1"/>
  <c r="D87" i="39"/>
  <c r="E87" i="39" s="1"/>
  <c r="D79" i="39"/>
  <c r="E79" i="39" s="1"/>
  <c r="D71" i="39"/>
  <c r="E71" i="39" s="1"/>
  <c r="D63" i="39"/>
  <c r="E63" i="39" s="1"/>
  <c r="D55" i="39"/>
  <c r="E55" i="39" s="1"/>
  <c r="D47" i="39"/>
  <c r="E47" i="39" s="1"/>
  <c r="D39" i="39"/>
  <c r="E39" i="39" s="1"/>
  <c r="D31" i="39"/>
  <c r="E31" i="39" s="1"/>
  <c r="D102" i="39"/>
  <c r="E102" i="39" s="1"/>
  <c r="D94" i="39"/>
  <c r="E94" i="39" s="1"/>
  <c r="D86" i="39"/>
  <c r="E86" i="39" s="1"/>
  <c r="D78" i="39"/>
  <c r="E78" i="39" s="1"/>
  <c r="D70" i="39"/>
  <c r="E70" i="39" s="1"/>
  <c r="D62" i="39"/>
  <c r="E62" i="39" s="1"/>
  <c r="D54" i="39"/>
  <c r="E54" i="39" s="1"/>
  <c r="D46" i="39"/>
  <c r="E46" i="39" s="1"/>
  <c r="D38" i="39"/>
  <c r="E38" i="39" s="1"/>
  <c r="D108" i="39"/>
  <c r="E108" i="39" s="1"/>
  <c r="D100" i="39"/>
  <c r="E100" i="39" s="1"/>
  <c r="D92" i="39"/>
  <c r="E92" i="39" s="1"/>
  <c r="D84" i="39"/>
  <c r="E84" i="39" s="1"/>
  <c r="D76" i="39"/>
  <c r="E76" i="39" s="1"/>
  <c r="D68" i="39"/>
  <c r="E68" i="39" s="1"/>
  <c r="D60" i="39"/>
  <c r="E60" i="39" s="1"/>
  <c r="D52" i="39"/>
  <c r="E52" i="39" s="1"/>
  <c r="D44" i="39"/>
  <c r="E44" i="39" s="1"/>
  <c r="D36" i="39"/>
  <c r="E36" i="39" s="1"/>
  <c r="D107" i="39"/>
  <c r="E107" i="39" s="1"/>
  <c r="D99" i="39"/>
  <c r="E99" i="39" s="1"/>
  <c r="D91" i="39"/>
  <c r="E91" i="39" s="1"/>
  <c r="D83" i="39"/>
  <c r="E83" i="39" s="1"/>
  <c r="D75" i="39"/>
  <c r="E75" i="39" s="1"/>
  <c r="D67" i="39"/>
  <c r="E67" i="39" s="1"/>
  <c r="D59" i="39"/>
  <c r="E59" i="39" s="1"/>
  <c r="D51" i="39"/>
  <c r="E51" i="39" s="1"/>
  <c r="D43" i="39"/>
  <c r="E43" i="39" s="1"/>
  <c r="D35" i="39"/>
  <c r="E35" i="39" s="1"/>
  <c r="D106" i="39"/>
  <c r="E106" i="39" s="1"/>
  <c r="D98" i="39"/>
  <c r="E98" i="39" s="1"/>
  <c r="D90" i="39"/>
  <c r="E90" i="39" s="1"/>
  <c r="D82" i="39"/>
  <c r="E82" i="39" s="1"/>
  <c r="D74" i="39"/>
  <c r="E74" i="39" s="1"/>
  <c r="D66" i="39"/>
  <c r="E66" i="39" s="1"/>
  <c r="D58" i="39"/>
  <c r="E58" i="39" s="1"/>
  <c r="D50" i="39"/>
  <c r="E50" i="39" s="1"/>
  <c r="D42" i="39"/>
  <c r="E42" i="39" s="1"/>
  <c r="C7" i="39" l="1"/>
  <c r="C14" i="39" l="1"/>
  <c r="C22" i="39"/>
  <c r="C17" i="39"/>
  <c r="C10" i="39"/>
  <c r="C18" i="39"/>
  <c r="C21" i="39"/>
  <c r="C9" i="39"/>
  <c r="C11" i="39"/>
  <c r="C19" i="39"/>
  <c r="C12" i="39"/>
  <c r="C20" i="39"/>
  <c r="C13" i="39"/>
  <c r="C15" i="39"/>
  <c r="C16" i="39"/>
  <c r="A9" i="19" l="1"/>
  <c r="A10" i="19"/>
  <c r="A11" i="19"/>
  <c r="A12" i="19"/>
  <c r="A13" i="19"/>
  <c r="A8" i="19"/>
  <c r="B8" i="19"/>
  <c r="B9" i="19"/>
  <c r="B10" i="19"/>
  <c r="B11" i="19"/>
  <c r="B12" i="19"/>
  <c r="B13" i="19"/>
  <c r="C5" i="37" l="1"/>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4" i="37"/>
  <c r="A148" i="31" l="1"/>
  <c r="A168" i="31"/>
  <c r="A145" i="31"/>
  <c r="K32" i="39" l="1"/>
  <c r="J38" i="39" a="1"/>
  <c r="J38" i="39" s="1"/>
  <c r="K39" i="39"/>
  <c r="K38" i="39"/>
  <c r="K34" i="39"/>
  <c r="K33" i="39"/>
  <c r="K37" i="39"/>
  <c r="K31" i="39"/>
  <c r="K36" i="39"/>
  <c r="K35" i="39"/>
  <c r="J39" i="39" a="1"/>
  <c r="J39" i="39" s="1"/>
  <c r="J33" i="39" a="1"/>
  <c r="J33" i="39" s="1"/>
  <c r="B196" i="31" s="1"/>
  <c r="J36" i="39" a="1"/>
  <c r="J36" i="39" s="1"/>
  <c r="B199" i="31" s="1"/>
  <c r="J34" i="39" a="1"/>
  <c r="J34" i="39" s="1"/>
  <c r="B197" i="31" s="1"/>
  <c r="J35" i="39" a="1"/>
  <c r="J35" i="39" s="1"/>
  <c r="B198" i="31" s="1"/>
  <c r="J37" i="39" a="1"/>
  <c r="J37" i="39" s="1"/>
  <c r="J32" i="39" a="1"/>
  <c r="J32" i="39" s="1"/>
  <c r="B195" i="31" s="1"/>
  <c r="J31" i="39" a="1"/>
  <c r="J31" i="39" s="1"/>
  <c r="B194" i="31" s="1"/>
  <c r="C198" i="31" l="1"/>
  <c r="K198" i="31" s="1"/>
  <c r="H198" i="31"/>
  <c r="C199" i="31"/>
  <c r="K199" i="31" s="1"/>
  <c r="H199" i="31"/>
  <c r="H197" i="31"/>
  <c r="AE7" i="39" s="1"/>
  <c r="H196" i="31"/>
  <c r="X7" i="39" s="1"/>
  <c r="H194" i="31"/>
  <c r="J7" i="39" s="1"/>
  <c r="H195" i="31"/>
  <c r="Q7" i="39" s="1"/>
  <c r="C195" i="31"/>
  <c r="K195" i="31" s="1"/>
  <c r="C197" i="31"/>
  <c r="K197" i="31" s="1"/>
  <c r="C196" i="31"/>
  <c r="K196" i="31" s="1"/>
  <c r="B245" i="31"/>
  <c r="C194" i="31"/>
  <c r="K194" i="31" s="1"/>
  <c r="Z3" i="10"/>
  <c r="Z4" i="10"/>
  <c r="Z5" i="10"/>
  <c r="Z6" i="10"/>
  <c r="Z7" i="10"/>
  <c r="Z8" i="10"/>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2" i="10"/>
  <c r="AS7" i="39" l="1"/>
  <c r="A267" i="31"/>
  <c r="B267" i="31" s="1"/>
  <c r="A268" i="31"/>
  <c r="B268" i="31" s="1"/>
  <c r="M216" i="31"/>
  <c r="M215" i="31" s="1"/>
  <c r="B266" i="31"/>
  <c r="B269" i="31" s="1"/>
  <c r="AL7" i="39"/>
  <c r="A264" i="31"/>
  <c r="B264" i="31" s="1"/>
  <c r="A263" i="31"/>
  <c r="B263" i="31" s="1"/>
  <c r="F216" i="31"/>
  <c r="F215" i="31" s="1"/>
  <c r="B262" i="31"/>
  <c r="B265" i="31" s="1"/>
  <c r="A255" i="31"/>
  <c r="A248" i="31"/>
  <c r="A252" i="31"/>
  <c r="A251" i="31"/>
  <c r="A260" i="31"/>
  <c r="A259" i="31"/>
  <c r="A256" i="31"/>
  <c r="A247" i="31"/>
  <c r="M202" i="31"/>
  <c r="M201" i="31" s="1"/>
  <c r="B254" i="31"/>
  <c r="B257" i="31" s="1"/>
  <c r="E202" i="31"/>
  <c r="E201" i="31" s="1"/>
  <c r="B250" i="31"/>
  <c r="B253" i="31" s="1"/>
  <c r="A216" i="31"/>
  <c r="A215" i="31" s="1"/>
  <c r="B258" i="31"/>
  <c r="B261" i="31" s="1"/>
  <c r="B246" i="31"/>
  <c r="B249" i="31" s="1"/>
  <c r="A202" i="31"/>
  <c r="AE15" i="39"/>
  <c r="AE12" i="39"/>
  <c r="AE22" i="39"/>
  <c r="AE11" i="39"/>
  <c r="AE14" i="39"/>
  <c r="AE19" i="39"/>
  <c r="AE18" i="39"/>
  <c r="AE16" i="39"/>
  <c r="AE10" i="39"/>
  <c r="AE21" i="39"/>
  <c r="AE17" i="39"/>
  <c r="AE13" i="39"/>
  <c r="AE9" i="39"/>
  <c r="AE20" i="39"/>
  <c r="X12" i="39"/>
  <c r="X17" i="39"/>
  <c r="X16" i="39"/>
  <c r="X19" i="39"/>
  <c r="X15" i="39"/>
  <c r="X11" i="39"/>
  <c r="X22" i="39"/>
  <c r="X14" i="39"/>
  <c r="X21" i="39"/>
  <c r="X18" i="39"/>
  <c r="X13" i="39"/>
  <c r="X10" i="39"/>
  <c r="X20" i="39"/>
  <c r="X9" i="39"/>
  <c r="Q20" i="39"/>
  <c r="Q9" i="39"/>
  <c r="Q19" i="39"/>
  <c r="Q16" i="39"/>
  <c r="Q11" i="39"/>
  <c r="Q18" i="39"/>
  <c r="Q22" i="39"/>
  <c r="Q10" i="39"/>
  <c r="Q14" i="39"/>
  <c r="Q15" i="39"/>
  <c r="Q21" i="39"/>
  <c r="Q12" i="39"/>
  <c r="Q13" i="39"/>
  <c r="Q17" i="39"/>
  <c r="J17" i="39"/>
  <c r="J22" i="39"/>
  <c r="J19" i="39"/>
  <c r="J18" i="39"/>
  <c r="J9" i="39"/>
  <c r="J14" i="39"/>
  <c r="J16" i="39"/>
  <c r="J13" i="39"/>
  <c r="J20" i="39"/>
  <c r="J15" i="39"/>
  <c r="J21" i="39"/>
  <c r="J11" i="39"/>
  <c r="J10" i="39"/>
  <c r="J12" i="39"/>
  <c r="C3" i="10"/>
  <c r="AL20" i="39" l="1"/>
  <c r="AL15" i="39"/>
  <c r="AL12" i="39"/>
  <c r="AL13" i="39"/>
  <c r="AL19" i="39"/>
  <c r="AL10" i="39"/>
  <c r="AL11" i="39"/>
  <c r="AL22" i="39"/>
  <c r="AL17" i="39"/>
  <c r="AL14" i="39"/>
  <c r="AL9" i="39"/>
  <c r="AL18" i="39"/>
  <c r="AL16" i="39"/>
  <c r="AL21" i="39"/>
  <c r="AS21" i="39"/>
  <c r="AS17" i="39"/>
  <c r="AS18" i="39"/>
  <c r="AS10" i="39"/>
  <c r="AS13" i="39"/>
  <c r="AS9" i="39"/>
  <c r="AS22" i="39"/>
  <c r="AS12" i="39"/>
  <c r="AS16" i="39"/>
  <c r="AS20" i="39"/>
  <c r="AS15" i="39"/>
  <c r="AS19" i="39"/>
  <c r="AS14" i="39"/>
  <c r="AS11" i="39"/>
  <c r="B247" i="31"/>
  <c r="B256" i="31"/>
  <c r="B259" i="31"/>
  <c r="B260" i="31"/>
  <c r="B251" i="31"/>
  <c r="B252" i="31"/>
  <c r="B248" i="31"/>
  <c r="B255" i="31"/>
  <c r="C4" i="10"/>
  <c r="C5" i="10" l="1"/>
  <c r="C6" i="10" l="1"/>
  <c r="C7" i="10" l="1"/>
  <c r="C8" i="10" l="1"/>
  <c r="C9" i="10" l="1"/>
  <c r="C10" i="10" l="1"/>
  <c r="C11" i="10" l="1"/>
  <c r="C12" i="10" l="1"/>
  <c r="C13" i="10" l="1"/>
  <c r="C14" i="10" l="1"/>
  <c r="C15" i="10" l="1"/>
  <c r="C16" i="10" l="1"/>
  <c r="C17" i="10" l="1"/>
  <c r="C18" i="10" l="1"/>
  <c r="C19" i="10" l="1"/>
  <c r="C20" i="10" l="1"/>
  <c r="C21" i="10" l="1"/>
  <c r="C22" i="10" l="1"/>
  <c r="C23" i="10" l="1"/>
  <c r="E3" i="10"/>
  <c r="C24" i="10" l="1"/>
  <c r="E4" i="10"/>
  <c r="E5" i="10" l="1"/>
  <c r="E6" i="10" l="1"/>
  <c r="E7" i="10" l="1"/>
  <c r="E8" i="10" l="1"/>
  <c r="E9" i="10" l="1"/>
  <c r="E10" i="10" l="1"/>
  <c r="E11" i="10" l="1"/>
  <c r="E12" i="10" l="1"/>
  <c r="E13" i="10" l="1"/>
  <c r="E14" i="10" l="1"/>
  <c r="E15" i="10" l="1"/>
  <c r="E16" i="10" l="1"/>
  <c r="F7" i="19"/>
  <c r="AL202" i="20" l="1"/>
  <c r="M202" i="20" s="1"/>
  <c r="AL201" i="20"/>
  <c r="M201" i="20" s="1"/>
  <c r="AL199" i="20"/>
  <c r="M199" i="20" s="1"/>
  <c r="AL203" i="20"/>
  <c r="M203" i="20" s="1"/>
  <c r="AL200" i="20"/>
  <c r="M200" i="20" s="1"/>
  <c r="AL198" i="20"/>
  <c r="G7" i="19"/>
  <c r="H7" i="19" s="1"/>
  <c r="E74" i="31"/>
  <c r="E84" i="31" s="1"/>
  <c r="E92" i="31" s="1"/>
  <c r="D74" i="31"/>
  <c r="C74" i="31"/>
  <c r="C84" i="31" s="1"/>
  <c r="C92" i="31" s="1"/>
  <c r="L73" i="31"/>
  <c r="C65" i="31"/>
  <c r="C64" i="31"/>
  <c r="E17" i="10"/>
  <c r="D84" i="31" l="1"/>
  <c r="D92" i="31" s="1"/>
  <c r="AN199" i="20"/>
  <c r="O199" i="20" s="1"/>
  <c r="AM201" i="20"/>
  <c r="N201" i="20" s="1"/>
  <c r="AM199" i="20"/>
  <c r="N199" i="20" s="1"/>
  <c r="AN202" i="20"/>
  <c r="O202" i="20" s="1"/>
  <c r="AN200" i="20"/>
  <c r="O200" i="20" s="1"/>
  <c r="AM203" i="20"/>
  <c r="N203" i="20" s="1"/>
  <c r="C182" i="20"/>
  <c r="C184" i="20"/>
  <c r="C183" i="20"/>
  <c r="C181" i="20"/>
  <c r="C179" i="20"/>
  <c r="C180" i="20"/>
  <c r="AN201" i="20"/>
  <c r="O201" i="20" s="1"/>
  <c r="AN198" i="20"/>
  <c r="AM198" i="20"/>
  <c r="AM202" i="20"/>
  <c r="N202" i="20" s="1"/>
  <c r="V200" i="20"/>
  <c r="M198" i="20"/>
  <c r="V203" i="20"/>
  <c r="V199" i="20"/>
  <c r="V201" i="20"/>
  <c r="V202" i="20"/>
  <c r="V198" i="20"/>
  <c r="AM200" i="20"/>
  <c r="N200" i="20" s="1"/>
  <c r="AN203" i="20"/>
  <c r="O203" i="20" s="1"/>
  <c r="I7" i="19"/>
  <c r="J7" i="19" s="1"/>
  <c r="K7" i="19" s="1"/>
  <c r="L7" i="19" s="1"/>
  <c r="M7" i="19" s="1"/>
  <c r="N7" i="19" s="1"/>
  <c r="O7" i="19" s="1"/>
  <c r="P7" i="19" s="1"/>
  <c r="Q7" i="19" s="1"/>
  <c r="R7" i="19" s="1"/>
  <c r="S7" i="19" s="1"/>
  <c r="T7" i="19" s="1"/>
  <c r="U7" i="19" s="1"/>
  <c r="V7" i="19" s="1"/>
  <c r="E18" i="10"/>
  <c r="C200" i="20" l="1"/>
  <c r="C202" i="20"/>
  <c r="C201" i="20"/>
  <c r="C199" i="20"/>
  <c r="H179" i="20"/>
  <c r="I180" i="20" s="1"/>
  <c r="J181" i="20" s="1"/>
  <c r="K182" i="20" s="1"/>
  <c r="L183" i="20" s="1"/>
  <c r="M184" i="20" s="1"/>
  <c r="P179" i="20"/>
  <c r="Q180" i="20" s="1"/>
  <c r="L179" i="20"/>
  <c r="M180" i="20" s="1"/>
  <c r="N181" i="20" s="1"/>
  <c r="O182" i="20" s="1"/>
  <c r="P183" i="20" s="1"/>
  <c r="Q184" i="20" s="1"/>
  <c r="F179" i="20"/>
  <c r="G180" i="20" s="1"/>
  <c r="H181" i="20" s="1"/>
  <c r="I182" i="20" s="1"/>
  <c r="J183" i="20" s="1"/>
  <c r="K184" i="20" s="1"/>
  <c r="C203" i="20"/>
  <c r="K179" i="20"/>
  <c r="E179" i="20"/>
  <c r="F180" i="20" s="1"/>
  <c r="D181" i="20"/>
  <c r="W201" i="20"/>
  <c r="W203" i="20"/>
  <c r="W198" i="20"/>
  <c r="W199" i="20"/>
  <c r="N198" i="20"/>
  <c r="W200" i="20"/>
  <c r="W202" i="20"/>
  <c r="D180" i="20"/>
  <c r="C185" i="20"/>
  <c r="C190" i="20" s="1"/>
  <c r="D182" i="20"/>
  <c r="X202" i="20"/>
  <c r="O198" i="20"/>
  <c r="X203" i="20"/>
  <c r="X199" i="20"/>
  <c r="X198" i="20"/>
  <c r="X200" i="20"/>
  <c r="X201" i="20"/>
  <c r="L180" i="20"/>
  <c r="M181" i="20" s="1"/>
  <c r="N182" i="20" s="1"/>
  <c r="O183" i="20" s="1"/>
  <c r="P184" i="20" s="1"/>
  <c r="Q179" i="20"/>
  <c r="D184" i="20"/>
  <c r="J179" i="20"/>
  <c r="K180" i="20" s="1"/>
  <c r="L181" i="20" s="1"/>
  <c r="M182" i="20" s="1"/>
  <c r="N183" i="20" s="1"/>
  <c r="O184" i="20" s="1"/>
  <c r="I179" i="20"/>
  <c r="J180" i="20" s="1"/>
  <c r="K181" i="20" s="1"/>
  <c r="L182" i="20" s="1"/>
  <c r="M183" i="20" s="1"/>
  <c r="N184" i="20" s="1"/>
  <c r="D183" i="20"/>
  <c r="E184" i="20" s="1"/>
  <c r="N179" i="20"/>
  <c r="O180" i="20" s="1"/>
  <c r="P181" i="20" s="1"/>
  <c r="Q182" i="20" s="1"/>
  <c r="D179" i="20"/>
  <c r="O179" i="20"/>
  <c r="P180" i="20" s="1"/>
  <c r="Q181" i="20" s="1"/>
  <c r="M179" i="20"/>
  <c r="N180" i="20" s="1"/>
  <c r="O181" i="20" s="1"/>
  <c r="P182" i="20" s="1"/>
  <c r="Q183" i="20" s="1"/>
  <c r="G179" i="20"/>
  <c r="H180" i="20" s="1"/>
  <c r="I181" i="20" s="1"/>
  <c r="J182" i="20" s="1"/>
  <c r="K183" i="20" s="1"/>
  <c r="L184" i="20" s="1"/>
  <c r="C118" i="31"/>
  <c r="D14" i="20" s="1"/>
  <c r="C115" i="31"/>
  <c r="D11" i="20" s="1"/>
  <c r="C116" i="31"/>
  <c r="D12" i="20" s="1"/>
  <c r="C117" i="31"/>
  <c r="D13" i="20" s="1"/>
  <c r="C114" i="31"/>
  <c r="D10" i="20" s="1"/>
  <c r="D99" i="31"/>
  <c r="D239" i="20" s="1"/>
  <c r="E19" i="10"/>
  <c r="F201" i="20" l="1"/>
  <c r="C191" i="20"/>
  <c r="C192" i="20"/>
  <c r="F198" i="20"/>
  <c r="F199" i="20"/>
  <c r="F200" i="20"/>
  <c r="C189" i="20"/>
  <c r="P185" i="20"/>
  <c r="P189" i="20" s="1"/>
  <c r="F203" i="20"/>
  <c r="F202" i="20"/>
  <c r="E183" i="20"/>
  <c r="F184" i="20" s="1"/>
  <c r="E182" i="20"/>
  <c r="C187" i="20"/>
  <c r="C198" i="20"/>
  <c r="E180" i="20"/>
  <c r="F181" i="20" s="1"/>
  <c r="G182" i="20" s="1"/>
  <c r="H183" i="20" s="1"/>
  <c r="I184" i="20" s="1"/>
  <c r="D185" i="20"/>
  <c r="D187" i="20" s="1"/>
  <c r="M185" i="20"/>
  <c r="M187" i="20" s="1"/>
  <c r="E181" i="20"/>
  <c r="F182" i="20" s="1"/>
  <c r="G183" i="20" s="1"/>
  <c r="H184" i="20" s="1"/>
  <c r="O185" i="20"/>
  <c r="O192" i="20" s="1"/>
  <c r="G181" i="20"/>
  <c r="H182" i="20" s="1"/>
  <c r="I183" i="20" s="1"/>
  <c r="J184" i="20" s="1"/>
  <c r="J185" i="20" s="1"/>
  <c r="J189" i="20" s="1"/>
  <c r="L185" i="20"/>
  <c r="L192" i="20" s="1"/>
  <c r="K185" i="20"/>
  <c r="K190" i="20" s="1"/>
  <c r="N185" i="20"/>
  <c r="N191" i="20" s="1"/>
  <c r="Q185" i="20"/>
  <c r="Q187" i="20" s="1"/>
  <c r="C188" i="20"/>
  <c r="C13" i="20"/>
  <c r="C12" i="20"/>
  <c r="C11" i="20"/>
  <c r="C10" i="20"/>
  <c r="C14" i="20"/>
  <c r="E99" i="31"/>
  <c r="E239" i="20" s="1"/>
  <c r="D98" i="31"/>
  <c r="E20" i="10"/>
  <c r="H185" i="20" l="1"/>
  <c r="H187" i="20" s="1"/>
  <c r="I185" i="20"/>
  <c r="I187" i="20" s="1"/>
  <c r="P192" i="20"/>
  <c r="P188" i="20"/>
  <c r="P191" i="20"/>
  <c r="O187" i="20"/>
  <c r="P190" i="20"/>
  <c r="J192" i="20"/>
  <c r="K191" i="20"/>
  <c r="O188" i="20"/>
  <c r="P187" i="20"/>
  <c r="N189" i="20"/>
  <c r="L190" i="20"/>
  <c r="J187" i="20"/>
  <c r="L189" i="20"/>
  <c r="K188" i="20"/>
  <c r="E185" i="20"/>
  <c r="E191" i="20" s="1"/>
  <c r="N187" i="20"/>
  <c r="K187" i="20"/>
  <c r="K192" i="20"/>
  <c r="D191" i="20"/>
  <c r="M192" i="20"/>
  <c r="K189" i="20"/>
  <c r="Q190" i="20"/>
  <c r="N190" i="20"/>
  <c r="N188" i="20"/>
  <c r="N192" i="20"/>
  <c r="M189" i="20"/>
  <c r="M190" i="20"/>
  <c r="D189" i="20"/>
  <c r="F183" i="20"/>
  <c r="G184" i="20" s="1"/>
  <c r="G185" i="20" s="1"/>
  <c r="D192" i="20"/>
  <c r="D188" i="20"/>
  <c r="Q189" i="20"/>
  <c r="L191" i="20"/>
  <c r="L187" i="20"/>
  <c r="O190" i="20"/>
  <c r="O189" i="20"/>
  <c r="O191" i="20"/>
  <c r="J191" i="20"/>
  <c r="J190" i="20"/>
  <c r="J188" i="20"/>
  <c r="L188" i="20"/>
  <c r="D190" i="20"/>
  <c r="Q192" i="20"/>
  <c r="Q188" i="20"/>
  <c r="Q191" i="20"/>
  <c r="M188" i="20"/>
  <c r="M191" i="20"/>
  <c r="E12" i="20"/>
  <c r="J12" i="20" s="1"/>
  <c r="E11" i="20"/>
  <c r="J11" i="20" s="1"/>
  <c r="E10" i="20"/>
  <c r="J10" i="20" s="1"/>
  <c r="E14" i="20"/>
  <c r="J14" i="20" s="1"/>
  <c r="E13" i="20"/>
  <c r="J13" i="20" s="1"/>
  <c r="E233" i="31"/>
  <c r="G99" i="31"/>
  <c r="G239" i="20" s="1"/>
  <c r="F99" i="31"/>
  <c r="F239" i="20" s="1"/>
  <c r="D135" i="31"/>
  <c r="D233" i="31"/>
  <c r="D244" i="31"/>
  <c r="E21" i="10"/>
  <c r="I188" i="20" l="1"/>
  <c r="I190" i="20"/>
  <c r="D263" i="31"/>
  <c r="D268" i="31"/>
  <c r="D267" i="31"/>
  <c r="D264" i="31"/>
  <c r="D259" i="31"/>
  <c r="D260" i="31"/>
  <c r="D252" i="31"/>
  <c r="D247" i="31"/>
  <c r="D255" i="31"/>
  <c r="D256" i="31"/>
  <c r="D248" i="31"/>
  <c r="D251" i="31"/>
  <c r="I189" i="20"/>
  <c r="H191" i="20"/>
  <c r="H188" i="20"/>
  <c r="H190" i="20"/>
  <c r="H192" i="20"/>
  <c r="H189" i="20"/>
  <c r="I191" i="20"/>
  <c r="I192" i="20"/>
  <c r="E190" i="20"/>
  <c r="E189" i="20"/>
  <c r="G187" i="20"/>
  <c r="G192" i="20"/>
  <c r="G188" i="20"/>
  <c r="G190" i="20"/>
  <c r="G189" i="20"/>
  <c r="F185" i="20"/>
  <c r="G191" i="20"/>
  <c r="E192" i="20"/>
  <c r="E187" i="20"/>
  <c r="E188" i="20"/>
  <c r="AU36" i="19"/>
  <c r="C46" i="20" s="1"/>
  <c r="D47" i="20" s="1"/>
  <c r="E48" i="20" s="1"/>
  <c r="F49" i="20" s="1"/>
  <c r="G50" i="20" s="1"/>
  <c r="H51" i="20" s="1"/>
  <c r="I52" i="20" s="1"/>
  <c r="J53" i="20" s="1"/>
  <c r="K54" i="20" s="1"/>
  <c r="L55" i="20" s="1"/>
  <c r="M56" i="20" s="1"/>
  <c r="N57" i="20" s="1"/>
  <c r="O58" i="20" s="1"/>
  <c r="AU35" i="19"/>
  <c r="C45" i="20" s="1"/>
  <c r="D46" i="20" s="1"/>
  <c r="E47" i="20" s="1"/>
  <c r="F48" i="20" s="1"/>
  <c r="G49" i="20" s="1"/>
  <c r="H50" i="20" s="1"/>
  <c r="I51" i="20" s="1"/>
  <c r="J52" i="20" s="1"/>
  <c r="K53" i="20" s="1"/>
  <c r="L54" i="20" s="1"/>
  <c r="M55" i="20" s="1"/>
  <c r="N56" i="20" s="1"/>
  <c r="O57" i="20" s="1"/>
  <c r="P58" i="20" s="1"/>
  <c r="AU37" i="19"/>
  <c r="C47" i="20" s="1"/>
  <c r="D48" i="20" s="1"/>
  <c r="E49" i="20" s="1"/>
  <c r="F50" i="20" s="1"/>
  <c r="G51" i="20" s="1"/>
  <c r="H52" i="20" s="1"/>
  <c r="I53" i="20" s="1"/>
  <c r="J54" i="20" s="1"/>
  <c r="K55" i="20" s="1"/>
  <c r="L56" i="20" s="1"/>
  <c r="M57" i="20" s="1"/>
  <c r="N58" i="20" s="1"/>
  <c r="AU39" i="19"/>
  <c r="C49" i="20" s="1"/>
  <c r="D50" i="20" s="1"/>
  <c r="E51" i="20" s="1"/>
  <c r="F52" i="20" s="1"/>
  <c r="G53" i="20" s="1"/>
  <c r="H54" i="20" s="1"/>
  <c r="I55" i="20" s="1"/>
  <c r="J56" i="20" s="1"/>
  <c r="K57" i="20" s="1"/>
  <c r="L58" i="20" s="1"/>
  <c r="AU38" i="19"/>
  <c r="C48" i="20" s="1"/>
  <c r="D49" i="20" s="1"/>
  <c r="E50" i="20" s="1"/>
  <c r="F51" i="20" s="1"/>
  <c r="G52" i="20" s="1"/>
  <c r="H53" i="20" s="1"/>
  <c r="I54" i="20" s="1"/>
  <c r="J55" i="20" s="1"/>
  <c r="K56" i="20" s="1"/>
  <c r="L57" i="20" s="1"/>
  <c r="M58" i="20" s="1"/>
  <c r="AU12" i="19"/>
  <c r="C22" i="20" s="1"/>
  <c r="D23" i="20" s="1"/>
  <c r="E24" i="20" s="1"/>
  <c r="F25" i="20" s="1"/>
  <c r="G26" i="20" s="1"/>
  <c r="H27" i="20" s="1"/>
  <c r="I28" i="20" s="1"/>
  <c r="J29" i="20" s="1"/>
  <c r="K30" i="20" s="1"/>
  <c r="L31" i="20" s="1"/>
  <c r="M32" i="20" s="1"/>
  <c r="N33" i="20" s="1"/>
  <c r="O34" i="20" s="1"/>
  <c r="P35" i="20" s="1"/>
  <c r="Q36" i="20" s="1"/>
  <c r="AU16" i="19"/>
  <c r="C26" i="20" s="1"/>
  <c r="D27" i="20" s="1"/>
  <c r="E28" i="20" s="1"/>
  <c r="F29" i="20" s="1"/>
  <c r="G30" i="20" s="1"/>
  <c r="H31" i="20" s="1"/>
  <c r="I32" i="20" s="1"/>
  <c r="J33" i="20" s="1"/>
  <c r="K34" i="20" s="1"/>
  <c r="L35" i="20" s="1"/>
  <c r="M36" i="20" s="1"/>
  <c r="N37" i="20" s="1"/>
  <c r="O38" i="20" s="1"/>
  <c r="P39" i="20" s="1"/>
  <c r="Q40" i="20" s="1"/>
  <c r="AU20" i="19"/>
  <c r="C30" i="20" s="1"/>
  <c r="D31" i="20" s="1"/>
  <c r="E32" i="20" s="1"/>
  <c r="F33" i="20" s="1"/>
  <c r="G34" i="20" s="1"/>
  <c r="H35" i="20" s="1"/>
  <c r="I36" i="20" s="1"/>
  <c r="J37" i="20" s="1"/>
  <c r="K38" i="20" s="1"/>
  <c r="L39" i="20" s="1"/>
  <c r="M40" i="20" s="1"/>
  <c r="N41" i="20" s="1"/>
  <c r="O42" i="20" s="1"/>
  <c r="P43" i="20" s="1"/>
  <c r="Q44" i="20" s="1"/>
  <c r="AU24" i="19"/>
  <c r="C34" i="20" s="1"/>
  <c r="D35" i="20" s="1"/>
  <c r="E36" i="20" s="1"/>
  <c r="F37" i="20" s="1"/>
  <c r="G38" i="20" s="1"/>
  <c r="H39" i="20" s="1"/>
  <c r="I40" i="20" s="1"/>
  <c r="J41" i="20" s="1"/>
  <c r="K42" i="20" s="1"/>
  <c r="L43" i="20" s="1"/>
  <c r="M44" i="20" s="1"/>
  <c r="N45" i="20" s="1"/>
  <c r="O46" i="20" s="1"/>
  <c r="P47" i="20" s="1"/>
  <c r="Q48" i="20" s="1"/>
  <c r="AU28" i="19"/>
  <c r="C38" i="20" s="1"/>
  <c r="D39" i="20" s="1"/>
  <c r="E40" i="20" s="1"/>
  <c r="F41" i="20" s="1"/>
  <c r="G42" i="20" s="1"/>
  <c r="H43" i="20" s="1"/>
  <c r="I44" i="20" s="1"/>
  <c r="J45" i="20" s="1"/>
  <c r="K46" i="20" s="1"/>
  <c r="L47" i="20" s="1"/>
  <c r="M48" i="20" s="1"/>
  <c r="N49" i="20" s="1"/>
  <c r="O50" i="20" s="1"/>
  <c r="P51" i="20" s="1"/>
  <c r="Q52" i="20" s="1"/>
  <c r="AU9" i="19"/>
  <c r="C19" i="20" s="1"/>
  <c r="AU13" i="19"/>
  <c r="C23" i="20" s="1"/>
  <c r="D24" i="20" s="1"/>
  <c r="E25" i="20" s="1"/>
  <c r="F26" i="20" s="1"/>
  <c r="G27" i="20" s="1"/>
  <c r="H28" i="20" s="1"/>
  <c r="I29" i="20" s="1"/>
  <c r="J30" i="20" s="1"/>
  <c r="K31" i="20" s="1"/>
  <c r="L32" i="20" s="1"/>
  <c r="M33" i="20" s="1"/>
  <c r="N34" i="20" s="1"/>
  <c r="O35" i="20" s="1"/>
  <c r="P36" i="20" s="1"/>
  <c r="Q37" i="20" s="1"/>
  <c r="AU17" i="19"/>
  <c r="C27" i="20" s="1"/>
  <c r="D28" i="20" s="1"/>
  <c r="E29" i="20" s="1"/>
  <c r="F30" i="20" s="1"/>
  <c r="G31" i="20" s="1"/>
  <c r="H32" i="20" s="1"/>
  <c r="I33" i="20" s="1"/>
  <c r="J34" i="20" s="1"/>
  <c r="K35" i="20" s="1"/>
  <c r="L36" i="20" s="1"/>
  <c r="M37" i="20" s="1"/>
  <c r="N38" i="20" s="1"/>
  <c r="O39" i="20" s="1"/>
  <c r="P40" i="20" s="1"/>
  <c r="Q41" i="20" s="1"/>
  <c r="AU21" i="19"/>
  <c r="C31" i="20" s="1"/>
  <c r="D32" i="20" s="1"/>
  <c r="E33" i="20" s="1"/>
  <c r="F34" i="20" s="1"/>
  <c r="G35" i="20" s="1"/>
  <c r="H36" i="20" s="1"/>
  <c r="I37" i="20" s="1"/>
  <c r="J38" i="20" s="1"/>
  <c r="K39" i="20" s="1"/>
  <c r="L40" i="20" s="1"/>
  <c r="M41" i="20" s="1"/>
  <c r="N42" i="20" s="1"/>
  <c r="O43" i="20" s="1"/>
  <c r="P44" i="20" s="1"/>
  <c r="Q45" i="20" s="1"/>
  <c r="AU25" i="19"/>
  <c r="C35" i="20" s="1"/>
  <c r="D36" i="20" s="1"/>
  <c r="E37" i="20" s="1"/>
  <c r="F38" i="20" s="1"/>
  <c r="G39" i="20" s="1"/>
  <c r="H40" i="20" s="1"/>
  <c r="I41" i="20" s="1"/>
  <c r="J42" i="20" s="1"/>
  <c r="K43" i="20" s="1"/>
  <c r="L44" i="20" s="1"/>
  <c r="M45" i="20" s="1"/>
  <c r="N46" i="20" s="1"/>
  <c r="O47" i="20" s="1"/>
  <c r="P48" i="20" s="1"/>
  <c r="Q49" i="20" s="1"/>
  <c r="AU10" i="19"/>
  <c r="C20" i="20" s="1"/>
  <c r="D21" i="20" s="1"/>
  <c r="E22" i="20" s="1"/>
  <c r="F23" i="20" s="1"/>
  <c r="G24" i="20" s="1"/>
  <c r="H25" i="20" s="1"/>
  <c r="I26" i="20" s="1"/>
  <c r="J27" i="20" s="1"/>
  <c r="K28" i="20" s="1"/>
  <c r="L29" i="20" s="1"/>
  <c r="M30" i="20" s="1"/>
  <c r="N31" i="20" s="1"/>
  <c r="O32" i="20" s="1"/>
  <c r="P33" i="20" s="1"/>
  <c r="Q34" i="20" s="1"/>
  <c r="AU14" i="19"/>
  <c r="C24" i="20" s="1"/>
  <c r="D25" i="20" s="1"/>
  <c r="E26" i="20" s="1"/>
  <c r="F27" i="20" s="1"/>
  <c r="G28" i="20" s="1"/>
  <c r="H29" i="20" s="1"/>
  <c r="I30" i="20" s="1"/>
  <c r="J31" i="20" s="1"/>
  <c r="K32" i="20" s="1"/>
  <c r="L33" i="20" s="1"/>
  <c r="M34" i="20" s="1"/>
  <c r="N35" i="20" s="1"/>
  <c r="O36" i="20" s="1"/>
  <c r="P37" i="20" s="1"/>
  <c r="Q38" i="20" s="1"/>
  <c r="AU18" i="19"/>
  <c r="C28" i="20" s="1"/>
  <c r="D29" i="20" s="1"/>
  <c r="E30" i="20" s="1"/>
  <c r="F31" i="20" s="1"/>
  <c r="G32" i="20" s="1"/>
  <c r="H33" i="20" s="1"/>
  <c r="I34" i="20" s="1"/>
  <c r="J35" i="20" s="1"/>
  <c r="K36" i="20" s="1"/>
  <c r="L37" i="20" s="1"/>
  <c r="M38" i="20" s="1"/>
  <c r="N39" i="20" s="1"/>
  <c r="O40" i="20" s="1"/>
  <c r="P41" i="20" s="1"/>
  <c r="Q42" i="20" s="1"/>
  <c r="AU22" i="19"/>
  <c r="C32" i="20" s="1"/>
  <c r="D33" i="20" s="1"/>
  <c r="E34" i="20" s="1"/>
  <c r="F35" i="20" s="1"/>
  <c r="G36" i="20" s="1"/>
  <c r="H37" i="20" s="1"/>
  <c r="I38" i="20" s="1"/>
  <c r="J39" i="20" s="1"/>
  <c r="K40" i="20" s="1"/>
  <c r="L41" i="20" s="1"/>
  <c r="M42" i="20" s="1"/>
  <c r="N43" i="20" s="1"/>
  <c r="O44" i="20" s="1"/>
  <c r="P45" i="20" s="1"/>
  <c r="Q46" i="20" s="1"/>
  <c r="AU26" i="19"/>
  <c r="C36" i="20" s="1"/>
  <c r="D37" i="20" s="1"/>
  <c r="E38" i="20" s="1"/>
  <c r="F39" i="20" s="1"/>
  <c r="G40" i="20" s="1"/>
  <c r="H41" i="20" s="1"/>
  <c r="I42" i="20" s="1"/>
  <c r="J43" i="20" s="1"/>
  <c r="K44" i="20" s="1"/>
  <c r="L45" i="20" s="1"/>
  <c r="M46" i="20" s="1"/>
  <c r="N47" i="20" s="1"/>
  <c r="O48" i="20" s="1"/>
  <c r="P49" i="20" s="1"/>
  <c r="Q50" i="20" s="1"/>
  <c r="AU11" i="19"/>
  <c r="C21" i="20" s="1"/>
  <c r="D22" i="20" s="1"/>
  <c r="E23" i="20" s="1"/>
  <c r="F24" i="20" s="1"/>
  <c r="G25" i="20" s="1"/>
  <c r="H26" i="20" s="1"/>
  <c r="I27" i="20" s="1"/>
  <c r="J28" i="20" s="1"/>
  <c r="K29" i="20" s="1"/>
  <c r="L30" i="20" s="1"/>
  <c r="M31" i="20" s="1"/>
  <c r="N32" i="20" s="1"/>
  <c r="O33" i="20" s="1"/>
  <c r="P34" i="20" s="1"/>
  <c r="Q35" i="20" s="1"/>
  <c r="AU23" i="19"/>
  <c r="C33" i="20" s="1"/>
  <c r="D34" i="20" s="1"/>
  <c r="E35" i="20" s="1"/>
  <c r="F36" i="20" s="1"/>
  <c r="G37" i="20" s="1"/>
  <c r="H38" i="20" s="1"/>
  <c r="I39" i="20" s="1"/>
  <c r="J40" i="20" s="1"/>
  <c r="K41" i="20" s="1"/>
  <c r="L42" i="20" s="1"/>
  <c r="M43" i="20" s="1"/>
  <c r="N44" i="20" s="1"/>
  <c r="O45" i="20" s="1"/>
  <c r="P46" i="20" s="1"/>
  <c r="Q47" i="20" s="1"/>
  <c r="AU15" i="19"/>
  <c r="C25" i="20" s="1"/>
  <c r="D26" i="20" s="1"/>
  <c r="E27" i="20" s="1"/>
  <c r="F28" i="20" s="1"/>
  <c r="G29" i="20" s="1"/>
  <c r="H30" i="20" s="1"/>
  <c r="I31" i="20" s="1"/>
  <c r="J32" i="20" s="1"/>
  <c r="K33" i="20" s="1"/>
  <c r="L34" i="20" s="1"/>
  <c r="M35" i="20" s="1"/>
  <c r="N36" i="20" s="1"/>
  <c r="O37" i="20" s="1"/>
  <c r="P38" i="20" s="1"/>
  <c r="Q39" i="20" s="1"/>
  <c r="AU19" i="19"/>
  <c r="C29" i="20" s="1"/>
  <c r="D30" i="20" s="1"/>
  <c r="E31" i="20" s="1"/>
  <c r="F32" i="20" s="1"/>
  <c r="G33" i="20" s="1"/>
  <c r="H34" i="20" s="1"/>
  <c r="I35" i="20" s="1"/>
  <c r="J36" i="20" s="1"/>
  <c r="K37" i="20" s="1"/>
  <c r="L38" i="20" s="1"/>
  <c r="M39" i="20" s="1"/>
  <c r="N40" i="20" s="1"/>
  <c r="O41" i="20" s="1"/>
  <c r="P42" i="20" s="1"/>
  <c r="Q43" i="20" s="1"/>
  <c r="AU27" i="19"/>
  <c r="C37" i="20" s="1"/>
  <c r="D38" i="20" s="1"/>
  <c r="E39" i="20" s="1"/>
  <c r="F40" i="20" s="1"/>
  <c r="G41" i="20" s="1"/>
  <c r="H42" i="20" s="1"/>
  <c r="I43" i="20" s="1"/>
  <c r="J44" i="20" s="1"/>
  <c r="K45" i="20" s="1"/>
  <c r="L46" i="20" s="1"/>
  <c r="M47" i="20" s="1"/>
  <c r="N48" i="20" s="1"/>
  <c r="O49" i="20" s="1"/>
  <c r="P50" i="20" s="1"/>
  <c r="Q51" i="20" s="1"/>
  <c r="AU40" i="19"/>
  <c r="C50" i="20" s="1"/>
  <c r="D51" i="20" s="1"/>
  <c r="E52" i="20" s="1"/>
  <c r="F53" i="20" s="1"/>
  <c r="G54" i="20" s="1"/>
  <c r="H55" i="20" s="1"/>
  <c r="I56" i="20" s="1"/>
  <c r="J57" i="20" s="1"/>
  <c r="K58" i="20" s="1"/>
  <c r="AU44" i="19"/>
  <c r="C54" i="20" s="1"/>
  <c r="D55" i="20" s="1"/>
  <c r="E56" i="20" s="1"/>
  <c r="F57" i="20" s="1"/>
  <c r="G58" i="20" s="1"/>
  <c r="AU41" i="19"/>
  <c r="C51" i="20" s="1"/>
  <c r="D52" i="20" s="1"/>
  <c r="E53" i="20" s="1"/>
  <c r="F54" i="20" s="1"/>
  <c r="G55" i="20" s="1"/>
  <c r="H56" i="20" s="1"/>
  <c r="I57" i="20" s="1"/>
  <c r="J58" i="20" s="1"/>
  <c r="AU43" i="19"/>
  <c r="C53" i="20" s="1"/>
  <c r="D54" i="20" s="1"/>
  <c r="E55" i="20" s="1"/>
  <c r="F56" i="20" s="1"/>
  <c r="G57" i="20" s="1"/>
  <c r="H58" i="20" s="1"/>
  <c r="AU42" i="19"/>
  <c r="C52" i="20" s="1"/>
  <c r="D53" i="20" s="1"/>
  <c r="E54" i="20" s="1"/>
  <c r="F55" i="20" s="1"/>
  <c r="G56" i="20" s="1"/>
  <c r="H57" i="20" s="1"/>
  <c r="I58" i="20" s="1"/>
  <c r="AU48" i="19"/>
  <c r="C58" i="20" s="1"/>
  <c r="AU45" i="19"/>
  <c r="C55" i="20" s="1"/>
  <c r="D56" i="20" s="1"/>
  <c r="E57" i="20" s="1"/>
  <c r="F58" i="20" s="1"/>
  <c r="AU46" i="19"/>
  <c r="C56" i="20" s="1"/>
  <c r="D57" i="20" s="1"/>
  <c r="E58" i="20" s="1"/>
  <c r="AU47" i="19"/>
  <c r="C57" i="20" s="1"/>
  <c r="D58" i="20" s="1"/>
  <c r="AU32" i="19"/>
  <c r="C42" i="20" s="1"/>
  <c r="D43" i="20" s="1"/>
  <c r="E44" i="20" s="1"/>
  <c r="F45" i="20" s="1"/>
  <c r="G46" i="20" s="1"/>
  <c r="H47" i="20" s="1"/>
  <c r="I48" i="20" s="1"/>
  <c r="J49" i="20" s="1"/>
  <c r="K50" i="20" s="1"/>
  <c r="L51" i="20" s="1"/>
  <c r="M52" i="20" s="1"/>
  <c r="N53" i="20" s="1"/>
  <c r="O54" i="20" s="1"/>
  <c r="P55" i="20" s="1"/>
  <c r="Q56" i="20" s="1"/>
  <c r="AU31" i="19"/>
  <c r="C41" i="20" s="1"/>
  <c r="D42" i="20" s="1"/>
  <c r="E43" i="20" s="1"/>
  <c r="F44" i="20" s="1"/>
  <c r="G45" i="20" s="1"/>
  <c r="H46" i="20" s="1"/>
  <c r="I47" i="20" s="1"/>
  <c r="J48" i="20" s="1"/>
  <c r="K49" i="20" s="1"/>
  <c r="L50" i="20" s="1"/>
  <c r="M51" i="20" s="1"/>
  <c r="N52" i="20" s="1"/>
  <c r="O53" i="20" s="1"/>
  <c r="P54" i="20" s="1"/>
  <c r="Q55" i="20" s="1"/>
  <c r="AU29" i="19"/>
  <c r="C39" i="20" s="1"/>
  <c r="D40" i="20" s="1"/>
  <c r="E41" i="20" s="1"/>
  <c r="F42" i="20" s="1"/>
  <c r="G43" i="20" s="1"/>
  <c r="H44" i="20" s="1"/>
  <c r="I45" i="20" s="1"/>
  <c r="J46" i="20" s="1"/>
  <c r="K47" i="20" s="1"/>
  <c r="L48" i="20" s="1"/>
  <c r="M49" i="20" s="1"/>
  <c r="N50" i="20" s="1"/>
  <c r="O51" i="20" s="1"/>
  <c r="P52" i="20" s="1"/>
  <c r="Q53" i="20" s="1"/>
  <c r="AU33" i="19"/>
  <c r="C43" i="20" s="1"/>
  <c r="D44" i="20" s="1"/>
  <c r="E45" i="20" s="1"/>
  <c r="F46" i="20" s="1"/>
  <c r="G47" i="20" s="1"/>
  <c r="H48" i="20" s="1"/>
  <c r="I49" i="20" s="1"/>
  <c r="J50" i="20" s="1"/>
  <c r="K51" i="20" s="1"/>
  <c r="L52" i="20" s="1"/>
  <c r="M53" i="20" s="1"/>
  <c r="N54" i="20" s="1"/>
  <c r="O55" i="20" s="1"/>
  <c r="P56" i="20" s="1"/>
  <c r="Q57" i="20" s="1"/>
  <c r="AU30" i="19"/>
  <c r="C40" i="20" s="1"/>
  <c r="D41" i="20" s="1"/>
  <c r="E42" i="20" s="1"/>
  <c r="F43" i="20" s="1"/>
  <c r="G44" i="20" s="1"/>
  <c r="H45" i="20" s="1"/>
  <c r="I46" i="20" s="1"/>
  <c r="J47" i="20" s="1"/>
  <c r="K48" i="20" s="1"/>
  <c r="L49" i="20" s="1"/>
  <c r="M50" i="20" s="1"/>
  <c r="N51" i="20" s="1"/>
  <c r="O52" i="20" s="1"/>
  <c r="P53" i="20" s="1"/>
  <c r="Q54" i="20" s="1"/>
  <c r="AU34" i="19"/>
  <c r="C44" i="20" s="1"/>
  <c r="D45" i="20" s="1"/>
  <c r="E46" i="20" s="1"/>
  <c r="F47" i="20" s="1"/>
  <c r="G48" i="20" s="1"/>
  <c r="H49" i="20" s="1"/>
  <c r="I50" i="20" s="1"/>
  <c r="J51" i="20" s="1"/>
  <c r="K52" i="20" s="1"/>
  <c r="L53" i="20" s="1"/>
  <c r="M54" i="20" s="1"/>
  <c r="N55" i="20" s="1"/>
  <c r="O56" i="20" s="1"/>
  <c r="P57" i="20" s="1"/>
  <c r="Q58" i="20" s="1"/>
  <c r="E135" i="31"/>
  <c r="E244" i="31"/>
  <c r="E98" i="31"/>
  <c r="H99" i="31"/>
  <c r="H239" i="20" s="1"/>
  <c r="F98" i="31"/>
  <c r="F244" i="31"/>
  <c r="F233" i="31"/>
  <c r="F135" i="31"/>
  <c r="E22" i="10"/>
  <c r="F268" i="31" l="1"/>
  <c r="F264" i="31"/>
  <c r="F263" i="31"/>
  <c r="F267" i="31"/>
  <c r="F259" i="31"/>
  <c r="F255" i="31"/>
  <c r="F252" i="31"/>
  <c r="F247" i="31"/>
  <c r="F256" i="31"/>
  <c r="F260" i="31"/>
  <c r="F251" i="31"/>
  <c r="F248" i="31"/>
  <c r="E267" i="31"/>
  <c r="E268" i="31"/>
  <c r="E264" i="31"/>
  <c r="E263" i="31"/>
  <c r="E256" i="31"/>
  <c r="E251" i="31"/>
  <c r="E260" i="31"/>
  <c r="E259" i="31"/>
  <c r="E252" i="31"/>
  <c r="E248" i="31"/>
  <c r="E255" i="31"/>
  <c r="E247" i="31"/>
  <c r="F189" i="20"/>
  <c r="F187" i="20"/>
  <c r="F188" i="20"/>
  <c r="F192" i="20"/>
  <c r="F190" i="20"/>
  <c r="F191" i="20"/>
  <c r="C146" i="20"/>
  <c r="C148" i="20" s="1"/>
  <c r="D20" i="20"/>
  <c r="I99" i="31"/>
  <c r="I239" i="20" s="1"/>
  <c r="G98" i="31"/>
  <c r="G244" i="31"/>
  <c r="G233" i="31"/>
  <c r="G135" i="31"/>
  <c r="E23" i="10"/>
  <c r="G267" i="31" l="1"/>
  <c r="G268" i="31"/>
  <c r="G264" i="31"/>
  <c r="G263" i="31"/>
  <c r="G256" i="31"/>
  <c r="G252" i="31"/>
  <c r="G255" i="31"/>
  <c r="G260" i="31"/>
  <c r="G259" i="31"/>
  <c r="G251" i="31"/>
  <c r="G247" i="31"/>
  <c r="G248" i="31"/>
  <c r="E21" i="20"/>
  <c r="D146" i="20"/>
  <c r="D148" i="20" s="1"/>
  <c r="D149" i="20" s="1"/>
  <c r="J99" i="31"/>
  <c r="J239" i="20" s="1"/>
  <c r="H98" i="31"/>
  <c r="H244" i="31"/>
  <c r="H233" i="31"/>
  <c r="H135" i="31"/>
  <c r="E24" i="10"/>
  <c r="H267" i="31" l="1"/>
  <c r="H264" i="31"/>
  <c r="H263" i="31"/>
  <c r="H268" i="31"/>
  <c r="H252" i="31"/>
  <c r="H256" i="31"/>
  <c r="H251" i="31"/>
  <c r="H259" i="31"/>
  <c r="H248" i="31"/>
  <c r="H255" i="31"/>
  <c r="H247" i="31"/>
  <c r="H260" i="31"/>
  <c r="D116" i="20"/>
  <c r="D103" i="20"/>
  <c r="D127" i="20"/>
  <c r="D120" i="20"/>
  <c r="D67" i="20"/>
  <c r="D89" i="20"/>
  <c r="D85" i="20"/>
  <c r="D137" i="20"/>
  <c r="D105" i="20"/>
  <c r="D122" i="20"/>
  <c r="D81" i="20"/>
  <c r="D99" i="20"/>
  <c r="D98" i="20"/>
  <c r="D110" i="20"/>
  <c r="D139" i="20"/>
  <c r="D83" i="20"/>
  <c r="D70" i="20"/>
  <c r="D76" i="20"/>
  <c r="D106" i="20"/>
  <c r="D73" i="20"/>
  <c r="D113" i="20"/>
  <c r="D107" i="20"/>
  <c r="D112" i="20"/>
  <c r="D115" i="20"/>
  <c r="D72" i="20"/>
  <c r="D108" i="20"/>
  <c r="D141" i="20"/>
  <c r="D77" i="20"/>
  <c r="D96" i="20"/>
  <c r="D136" i="20"/>
  <c r="D94" i="20"/>
  <c r="D140" i="20"/>
  <c r="F22" i="20"/>
  <c r="E146" i="20"/>
  <c r="E148" i="20" s="1"/>
  <c r="E149" i="20" s="1"/>
  <c r="K99" i="31"/>
  <c r="K239" i="20" s="1"/>
  <c r="I98" i="31"/>
  <c r="I244" i="31"/>
  <c r="I233" i="31"/>
  <c r="I135" i="31"/>
  <c r="E25" i="10"/>
  <c r="I267" i="31" l="1"/>
  <c r="I263" i="31"/>
  <c r="I268" i="31"/>
  <c r="I264" i="31"/>
  <c r="I247" i="31"/>
  <c r="I251" i="31"/>
  <c r="I248" i="31"/>
  <c r="I255" i="31"/>
  <c r="I256" i="31"/>
  <c r="I259" i="31"/>
  <c r="I260" i="31"/>
  <c r="I252" i="31"/>
  <c r="D164" i="20"/>
  <c r="E112" i="20"/>
  <c r="E94" i="20"/>
  <c r="E136" i="20"/>
  <c r="E85" i="20"/>
  <c r="E139" i="20"/>
  <c r="E140" i="20"/>
  <c r="E115" i="20"/>
  <c r="E107" i="20"/>
  <c r="E110" i="20"/>
  <c r="E73" i="20"/>
  <c r="E83" i="20"/>
  <c r="E137" i="20"/>
  <c r="E89" i="20"/>
  <c r="E96" i="20"/>
  <c r="E113" i="20"/>
  <c r="E98" i="20"/>
  <c r="E67" i="20"/>
  <c r="D145" i="20"/>
  <c r="E99" i="20"/>
  <c r="E120" i="20"/>
  <c r="E141" i="20"/>
  <c r="E106" i="20"/>
  <c r="E81" i="20"/>
  <c r="E127" i="20"/>
  <c r="E108" i="20"/>
  <c r="E76" i="20"/>
  <c r="E122" i="20"/>
  <c r="E103" i="20"/>
  <c r="E77" i="20"/>
  <c r="G23" i="20"/>
  <c r="F146" i="20"/>
  <c r="F148" i="20" s="1"/>
  <c r="F149" i="20" s="1"/>
  <c r="E72" i="20"/>
  <c r="E70" i="20"/>
  <c r="E105" i="20"/>
  <c r="E116" i="20"/>
  <c r="L99" i="31"/>
  <c r="L239" i="20" s="1"/>
  <c r="J98" i="31"/>
  <c r="J244" i="31"/>
  <c r="J233" i="31"/>
  <c r="J135" i="31"/>
  <c r="E26" i="10"/>
  <c r="J263" i="31" l="1"/>
  <c r="J264" i="31"/>
  <c r="J267" i="31"/>
  <c r="J268" i="31"/>
  <c r="J259" i="31"/>
  <c r="J247" i="31"/>
  <c r="J260" i="31"/>
  <c r="J252" i="31"/>
  <c r="J256" i="31"/>
  <c r="J248" i="31"/>
  <c r="J251" i="31"/>
  <c r="J255" i="31"/>
  <c r="E164" i="20"/>
  <c r="E168" i="20" s="1"/>
  <c r="F140" i="20"/>
  <c r="F72" i="20"/>
  <c r="F76" i="20"/>
  <c r="F99" i="20"/>
  <c r="F110" i="20"/>
  <c r="F89" i="20"/>
  <c r="F73" i="20"/>
  <c r="F107" i="20"/>
  <c r="H24" i="20"/>
  <c r="G146" i="20"/>
  <c r="G148" i="20" s="1"/>
  <c r="G149" i="20" s="1"/>
  <c r="F112" i="20"/>
  <c r="F136" i="20"/>
  <c r="F137" i="20"/>
  <c r="F127" i="20"/>
  <c r="F116" i="20"/>
  <c r="F94" i="20"/>
  <c r="F106" i="20"/>
  <c r="F98" i="20"/>
  <c r="F83" i="20"/>
  <c r="F108" i="20"/>
  <c r="F139" i="20"/>
  <c r="F85" i="20"/>
  <c r="F77" i="20"/>
  <c r="F81" i="20"/>
  <c r="F103" i="20"/>
  <c r="F141" i="20"/>
  <c r="F113" i="20"/>
  <c r="F115" i="20"/>
  <c r="F67" i="20"/>
  <c r="E145" i="20"/>
  <c r="F105" i="20"/>
  <c r="F70" i="20"/>
  <c r="F122" i="20"/>
  <c r="F120" i="20"/>
  <c r="F96" i="20"/>
  <c r="D168" i="20"/>
  <c r="M99" i="31"/>
  <c r="M239" i="20" s="1"/>
  <c r="K98" i="31"/>
  <c r="K244" i="31"/>
  <c r="K233" i="31"/>
  <c r="K135" i="31"/>
  <c r="E27" i="10"/>
  <c r="K268" i="31" l="1"/>
  <c r="K264" i="31"/>
  <c r="K263" i="31"/>
  <c r="K267" i="31"/>
  <c r="K255" i="31"/>
  <c r="K260" i="31"/>
  <c r="K256" i="31"/>
  <c r="K248" i="31"/>
  <c r="K251" i="31"/>
  <c r="K252" i="31"/>
  <c r="K247" i="31"/>
  <c r="K259" i="31"/>
  <c r="G120" i="20"/>
  <c r="G105" i="20"/>
  <c r="G116" i="20"/>
  <c r="G127" i="20"/>
  <c r="G77" i="20"/>
  <c r="G115" i="20"/>
  <c r="G108" i="20"/>
  <c r="G73" i="20"/>
  <c r="G139" i="20"/>
  <c r="G70" i="20"/>
  <c r="G81" i="20"/>
  <c r="G137" i="20"/>
  <c r="G94" i="20"/>
  <c r="G107" i="20"/>
  <c r="G140" i="20"/>
  <c r="G85" i="20"/>
  <c r="F164" i="20"/>
  <c r="G136" i="20"/>
  <c r="G141" i="20"/>
  <c r="G98" i="20"/>
  <c r="G89" i="20"/>
  <c r="G96" i="20"/>
  <c r="G113" i="20"/>
  <c r="G110" i="20"/>
  <c r="G99" i="20"/>
  <c r="G83" i="20"/>
  <c r="G112" i="20"/>
  <c r="G76" i="20"/>
  <c r="G72" i="20"/>
  <c r="G67" i="20"/>
  <c r="F145" i="20"/>
  <c r="G122" i="20"/>
  <c r="G103" i="20"/>
  <c r="G106" i="20"/>
  <c r="I25" i="20"/>
  <c r="H146" i="20"/>
  <c r="H148" i="20" s="1"/>
  <c r="H149" i="20" s="1"/>
  <c r="D238" i="31"/>
  <c r="D169" i="20"/>
  <c r="E238" i="31"/>
  <c r="E169" i="20"/>
  <c r="N99" i="31"/>
  <c r="N239" i="20" s="1"/>
  <c r="L98" i="31"/>
  <c r="L244" i="31"/>
  <c r="L233" i="31"/>
  <c r="L135" i="31"/>
  <c r="E28" i="10"/>
  <c r="L268" i="31" l="1"/>
  <c r="L267" i="31"/>
  <c r="L263" i="31"/>
  <c r="L264" i="31"/>
  <c r="L260" i="31"/>
  <c r="L252" i="31"/>
  <c r="L247" i="31"/>
  <c r="L251" i="31"/>
  <c r="L255" i="31"/>
  <c r="L256" i="31"/>
  <c r="L259" i="31"/>
  <c r="L248" i="31"/>
  <c r="G164" i="20"/>
  <c r="G168" i="20" s="1"/>
  <c r="H140" i="20"/>
  <c r="H120" i="20"/>
  <c r="H96" i="20"/>
  <c r="H77" i="20"/>
  <c r="H99" i="20"/>
  <c r="H72" i="20"/>
  <c r="H113" i="20"/>
  <c r="H103" i="20"/>
  <c r="H141" i="20"/>
  <c r="H137" i="20"/>
  <c r="H122" i="20"/>
  <c r="H139" i="20"/>
  <c r="H98" i="20"/>
  <c r="H89" i="20"/>
  <c r="H115" i="20"/>
  <c r="H136" i="20"/>
  <c r="H107" i="20"/>
  <c r="H105" i="20"/>
  <c r="H108" i="20"/>
  <c r="H94" i="20"/>
  <c r="H67" i="20"/>
  <c r="G145" i="20"/>
  <c r="H76" i="20"/>
  <c r="H85" i="20"/>
  <c r="H81" i="20"/>
  <c r="J26" i="20"/>
  <c r="I146" i="20"/>
  <c r="I148" i="20" s="1"/>
  <c r="I149" i="20" s="1"/>
  <c r="H127" i="20"/>
  <c r="H112" i="20"/>
  <c r="H116" i="20"/>
  <c r="H70" i="20"/>
  <c r="H106" i="20"/>
  <c r="H73" i="20"/>
  <c r="H83" i="20"/>
  <c r="H110" i="20"/>
  <c r="F168" i="20"/>
  <c r="O99" i="31"/>
  <c r="O239" i="20" s="1"/>
  <c r="M98" i="31"/>
  <c r="M244" i="31"/>
  <c r="M233" i="31"/>
  <c r="M135" i="31"/>
  <c r="E29" i="10"/>
  <c r="M263" i="31" l="1"/>
  <c r="M267" i="31"/>
  <c r="M268" i="31"/>
  <c r="M264" i="31"/>
  <c r="M247" i="31"/>
  <c r="M248" i="31"/>
  <c r="M251" i="31"/>
  <c r="M259" i="31"/>
  <c r="M252" i="31"/>
  <c r="M255" i="31"/>
  <c r="M256" i="31"/>
  <c r="M260" i="31"/>
  <c r="H164" i="20"/>
  <c r="H168" i="20" s="1"/>
  <c r="I140" i="20"/>
  <c r="I85" i="20"/>
  <c r="I139" i="20"/>
  <c r="I76" i="20"/>
  <c r="I116" i="20"/>
  <c r="I70" i="20"/>
  <c r="I98" i="20"/>
  <c r="I122" i="20"/>
  <c r="I108" i="20"/>
  <c r="I112" i="20"/>
  <c r="I105" i="20"/>
  <c r="I106" i="20"/>
  <c r="I81" i="20"/>
  <c r="I107" i="20"/>
  <c r="I89" i="20"/>
  <c r="I136" i="20"/>
  <c r="I137" i="20"/>
  <c r="I115" i="20"/>
  <c r="I113" i="20"/>
  <c r="I67" i="20"/>
  <c r="H145" i="20"/>
  <c r="I127" i="20"/>
  <c r="I99" i="20"/>
  <c r="I120" i="20"/>
  <c r="I77" i="20"/>
  <c r="I96" i="20"/>
  <c r="I141" i="20"/>
  <c r="I103" i="20"/>
  <c r="I110" i="20"/>
  <c r="I83" i="20"/>
  <c r="I73" i="20"/>
  <c r="K27" i="20"/>
  <c r="J146" i="20"/>
  <c r="J148" i="20" s="1"/>
  <c r="J149" i="20" s="1"/>
  <c r="I94" i="20"/>
  <c r="I72" i="20"/>
  <c r="F238" i="31"/>
  <c r="F169" i="20"/>
  <c r="G238" i="31"/>
  <c r="G169" i="20"/>
  <c r="P99" i="31"/>
  <c r="P239" i="20" s="1"/>
  <c r="N98" i="31"/>
  <c r="N244" i="31"/>
  <c r="N233" i="31"/>
  <c r="N135" i="31"/>
  <c r="E30" i="10"/>
  <c r="N263" i="31" l="1"/>
  <c r="N264" i="31"/>
  <c r="N268" i="31"/>
  <c r="N267" i="31"/>
  <c r="N260" i="31"/>
  <c r="N247" i="31"/>
  <c r="N259" i="31"/>
  <c r="N255" i="31"/>
  <c r="N256" i="31"/>
  <c r="N251" i="31"/>
  <c r="N252" i="31"/>
  <c r="N248" i="31"/>
  <c r="I164" i="20"/>
  <c r="I168" i="20" s="1"/>
  <c r="J140" i="20"/>
  <c r="J72" i="20"/>
  <c r="J112" i="20"/>
  <c r="J113" i="20"/>
  <c r="J94" i="20"/>
  <c r="J115" i="20"/>
  <c r="J105" i="20"/>
  <c r="J77" i="20"/>
  <c r="J83" i="20"/>
  <c r="J110" i="20"/>
  <c r="J139" i="20"/>
  <c r="J96" i="20"/>
  <c r="J122" i="20"/>
  <c r="J116" i="20"/>
  <c r="J76" i="20"/>
  <c r="J73" i="20"/>
  <c r="J70" i="20"/>
  <c r="J85" i="20"/>
  <c r="L28" i="20"/>
  <c r="K146" i="20"/>
  <c r="K148" i="20" s="1"/>
  <c r="K149" i="20" s="1"/>
  <c r="J67" i="20"/>
  <c r="I145" i="20"/>
  <c r="J89" i="20"/>
  <c r="J108" i="20"/>
  <c r="J107" i="20"/>
  <c r="J120" i="20"/>
  <c r="J137" i="20"/>
  <c r="J81" i="20"/>
  <c r="J103" i="20"/>
  <c r="J99" i="20"/>
  <c r="J136" i="20"/>
  <c r="J106" i="20"/>
  <c r="J141" i="20"/>
  <c r="J127" i="20"/>
  <c r="J98" i="20"/>
  <c r="H238" i="31"/>
  <c r="H169" i="20"/>
  <c r="Q99" i="31"/>
  <c r="Q239" i="20" s="1"/>
  <c r="O98" i="31"/>
  <c r="O244" i="31"/>
  <c r="O233" i="31"/>
  <c r="O135" i="31"/>
  <c r="E31" i="10"/>
  <c r="O267" i="31" l="1"/>
  <c r="O264" i="31"/>
  <c r="O268" i="31"/>
  <c r="O263" i="31"/>
  <c r="O256" i="31"/>
  <c r="O255" i="31"/>
  <c r="O251" i="31"/>
  <c r="O259" i="31"/>
  <c r="O247" i="31"/>
  <c r="O260" i="31"/>
  <c r="O248" i="31"/>
  <c r="O252" i="31"/>
  <c r="J164" i="20"/>
  <c r="J168" i="20" s="1"/>
  <c r="K140" i="20"/>
  <c r="K122" i="20"/>
  <c r="K127" i="20"/>
  <c r="K94" i="20"/>
  <c r="K137" i="20"/>
  <c r="K70" i="20"/>
  <c r="K89" i="20"/>
  <c r="K115" i="20"/>
  <c r="K105" i="20"/>
  <c r="K99" i="20"/>
  <c r="K83" i="20"/>
  <c r="K98" i="20"/>
  <c r="K116" i="20"/>
  <c r="K106" i="20"/>
  <c r="K107" i="20"/>
  <c r="K85" i="20"/>
  <c r="K77" i="20"/>
  <c r="K108" i="20"/>
  <c r="K96" i="20"/>
  <c r="K81" i="20"/>
  <c r="K139" i="20"/>
  <c r="K136" i="20"/>
  <c r="K72" i="20"/>
  <c r="K113" i="20"/>
  <c r="K103" i="20"/>
  <c r="K110" i="20"/>
  <c r="K67" i="20"/>
  <c r="J145" i="20"/>
  <c r="K73" i="20"/>
  <c r="M29" i="20"/>
  <c r="L146" i="20"/>
  <c r="L148" i="20" s="1"/>
  <c r="L149" i="20" s="1"/>
  <c r="K141" i="20"/>
  <c r="K120" i="20"/>
  <c r="K112" i="20"/>
  <c r="K76" i="20"/>
  <c r="I238" i="31"/>
  <c r="I169" i="20"/>
  <c r="P98" i="31"/>
  <c r="P244" i="31"/>
  <c r="Q98" i="31"/>
  <c r="Q244" i="31"/>
  <c r="Q233" i="31"/>
  <c r="Q135" i="31"/>
  <c r="P233" i="31"/>
  <c r="P135" i="31"/>
  <c r="E32" i="10"/>
  <c r="Q267" i="31" l="1"/>
  <c r="Q268" i="31"/>
  <c r="Q263" i="31"/>
  <c r="Q264" i="31"/>
  <c r="Q256" i="31"/>
  <c r="Q248" i="31"/>
  <c r="Q255" i="31"/>
  <c r="Q251" i="31"/>
  <c r="Q247" i="31"/>
  <c r="Q259" i="31"/>
  <c r="Q260" i="31"/>
  <c r="Q252" i="31"/>
  <c r="P268" i="31"/>
  <c r="P263" i="31"/>
  <c r="P264" i="31"/>
  <c r="P267" i="31"/>
  <c r="P251" i="31"/>
  <c r="P252" i="31"/>
  <c r="P259" i="31"/>
  <c r="P255" i="31"/>
  <c r="P247" i="31"/>
  <c r="P260" i="31"/>
  <c r="P248" i="31"/>
  <c r="P256" i="31"/>
  <c r="K164" i="20"/>
  <c r="L140" i="20"/>
  <c r="L72" i="20"/>
  <c r="L115" i="20"/>
  <c r="L81" i="20"/>
  <c r="L76" i="20"/>
  <c r="L137" i="20"/>
  <c r="L99" i="20"/>
  <c r="L73" i="20"/>
  <c r="L141" i="20"/>
  <c r="L77" i="20"/>
  <c r="L127" i="20"/>
  <c r="L98" i="20"/>
  <c r="L96" i="20"/>
  <c r="L113" i="20"/>
  <c r="L85" i="20"/>
  <c r="L67" i="20"/>
  <c r="K145" i="20"/>
  <c r="L103" i="20"/>
  <c r="L136" i="20"/>
  <c r="L122" i="20"/>
  <c r="L116" i="20"/>
  <c r="L89" i="20"/>
  <c r="L83" i="20"/>
  <c r="L139" i="20"/>
  <c r="L107" i="20"/>
  <c r="L108" i="20"/>
  <c r="L105" i="20"/>
  <c r="L106" i="20"/>
  <c r="L110" i="20"/>
  <c r="L112" i="20"/>
  <c r="L120" i="20"/>
  <c r="N30" i="20"/>
  <c r="M146" i="20"/>
  <c r="M148" i="20" s="1"/>
  <c r="M149" i="20" s="1"/>
  <c r="L94" i="20"/>
  <c r="L70" i="20"/>
  <c r="J238" i="31"/>
  <c r="J169" i="20"/>
  <c r="AT9" i="39" a="1"/>
  <c r="AT20" i="39" s="1"/>
  <c r="AM9" i="39" a="1"/>
  <c r="Y9" i="39" a="1"/>
  <c r="AF9" i="39" a="1"/>
  <c r="R9" i="39" a="1"/>
  <c r="K9" i="39" a="1"/>
  <c r="D9" i="39" a="1"/>
  <c r="D13" i="39" s="1"/>
  <c r="E33" i="10"/>
  <c r="M140" i="20" l="1"/>
  <c r="L164" i="20"/>
  <c r="AX20" i="39"/>
  <c r="AW20" i="39"/>
  <c r="M106" i="20"/>
  <c r="M98" i="20"/>
  <c r="M70" i="20"/>
  <c r="M77" i="20"/>
  <c r="M116" i="20"/>
  <c r="M99" i="20"/>
  <c r="M127" i="20"/>
  <c r="M122" i="20"/>
  <c r="M105" i="20"/>
  <c r="M137" i="20"/>
  <c r="M136" i="20"/>
  <c r="M113" i="20"/>
  <c r="M112" i="20"/>
  <c r="M107" i="20"/>
  <c r="M103" i="20"/>
  <c r="M141" i="20"/>
  <c r="M110" i="20"/>
  <c r="M94" i="20"/>
  <c r="M76" i="20"/>
  <c r="M120" i="20"/>
  <c r="M139" i="20"/>
  <c r="M83" i="20"/>
  <c r="M96" i="20"/>
  <c r="M81" i="20"/>
  <c r="M89" i="20"/>
  <c r="M67" i="20"/>
  <c r="L145" i="20"/>
  <c r="M115" i="20"/>
  <c r="O31" i="20"/>
  <c r="N146" i="20"/>
  <c r="N148" i="20" s="1"/>
  <c r="N149" i="20" s="1"/>
  <c r="M73" i="20"/>
  <c r="M108" i="20"/>
  <c r="M72" i="20"/>
  <c r="M85" i="20"/>
  <c r="K168" i="20"/>
  <c r="AT21" i="39"/>
  <c r="AT15" i="39"/>
  <c r="AT12" i="39"/>
  <c r="AT9" i="39"/>
  <c r="AT19" i="39"/>
  <c r="AT22" i="39"/>
  <c r="AT11" i="39"/>
  <c r="AT10" i="39"/>
  <c r="AT16" i="39"/>
  <c r="AT13" i="39"/>
  <c r="AT17" i="39"/>
  <c r="AT14" i="39"/>
  <c r="AT18" i="39"/>
  <c r="K20" i="39"/>
  <c r="K21" i="39"/>
  <c r="K18" i="39"/>
  <c r="K17" i="39"/>
  <c r="K14" i="39"/>
  <c r="K13" i="39"/>
  <c r="K9" i="39"/>
  <c r="K10" i="39"/>
  <c r="K22" i="39"/>
  <c r="K11" i="39"/>
  <c r="K19" i="39"/>
  <c r="K12" i="39"/>
  <c r="K15" i="39"/>
  <c r="K16" i="39"/>
  <c r="R20" i="39"/>
  <c r="R17" i="39"/>
  <c r="R15" i="39"/>
  <c r="R14" i="39"/>
  <c r="R10" i="39"/>
  <c r="R13" i="39"/>
  <c r="R21" i="39"/>
  <c r="R18" i="39"/>
  <c r="R22" i="39"/>
  <c r="R9" i="39"/>
  <c r="R19" i="39"/>
  <c r="R16" i="39"/>
  <c r="R11" i="39"/>
  <c r="R12" i="39"/>
  <c r="AF20" i="39"/>
  <c r="AF10" i="39"/>
  <c r="AF17" i="39"/>
  <c r="AF15" i="39"/>
  <c r="AF22" i="39"/>
  <c r="AF9" i="39"/>
  <c r="AF21" i="39"/>
  <c r="AF18" i="39"/>
  <c r="AF14" i="39"/>
  <c r="AF13" i="39"/>
  <c r="AF19" i="39"/>
  <c r="AF16" i="39"/>
  <c r="AF11" i="39"/>
  <c r="AF12" i="39"/>
  <c r="Y20" i="39"/>
  <c r="Y14" i="39"/>
  <c r="Y21" i="39"/>
  <c r="Y13" i="39"/>
  <c r="Y10" i="39"/>
  <c r="Y22" i="39"/>
  <c r="Y9" i="39"/>
  <c r="Y17" i="39"/>
  <c r="Y15" i="39"/>
  <c r="Y18" i="39"/>
  <c r="Y19" i="39"/>
  <c r="Y12" i="39"/>
  <c r="Y16" i="39"/>
  <c r="Y11" i="39"/>
  <c r="AM19" i="39"/>
  <c r="AM18" i="39"/>
  <c r="AM13" i="39"/>
  <c r="AM17" i="39"/>
  <c r="AM22" i="39"/>
  <c r="AM15" i="39"/>
  <c r="AM14" i="39"/>
  <c r="AM21" i="39"/>
  <c r="AM10" i="39"/>
  <c r="AM20" i="39"/>
  <c r="AM9" i="39"/>
  <c r="AM12" i="39"/>
  <c r="AM16" i="39"/>
  <c r="AM11" i="39"/>
  <c r="D18" i="39"/>
  <c r="D19" i="39"/>
  <c r="D16" i="39"/>
  <c r="D22" i="39"/>
  <c r="D10" i="39"/>
  <c r="D12" i="39"/>
  <c r="D17" i="39"/>
  <c r="D20" i="39"/>
  <c r="D21" i="39"/>
  <c r="D9" i="39"/>
  <c r="D11" i="39"/>
  <c r="D15" i="39"/>
  <c r="D14" i="39"/>
  <c r="E34" i="10"/>
  <c r="M164" i="20" l="1"/>
  <c r="M168" i="20" s="1"/>
  <c r="N140" i="20"/>
  <c r="AC12" i="39"/>
  <c r="AB12" i="39"/>
  <c r="U18" i="39"/>
  <c r="V18" i="39"/>
  <c r="O13" i="39"/>
  <c r="N13" i="39"/>
  <c r="AX12" i="39"/>
  <c r="AW12" i="39"/>
  <c r="AQ16" i="39"/>
  <c r="AP16" i="39"/>
  <c r="AP22" i="39"/>
  <c r="AQ22" i="39"/>
  <c r="AB19" i="39"/>
  <c r="AC19" i="39"/>
  <c r="AC21" i="39"/>
  <c r="AB21" i="39"/>
  <c r="AJ14" i="39"/>
  <c r="AI14" i="39"/>
  <c r="AJ20" i="39"/>
  <c r="AI20" i="39"/>
  <c r="V21" i="39"/>
  <c r="U21" i="39"/>
  <c r="N15" i="39"/>
  <c r="O15" i="39"/>
  <c r="N14" i="39"/>
  <c r="O14" i="39"/>
  <c r="AW13" i="39"/>
  <c r="AX13" i="39"/>
  <c r="AX15" i="39"/>
  <c r="AW15" i="39"/>
  <c r="AQ11" i="39"/>
  <c r="AP11" i="39"/>
  <c r="AQ17" i="39"/>
  <c r="AP17" i="39"/>
  <c r="AB18" i="39"/>
  <c r="AC18" i="39"/>
  <c r="AJ18" i="39"/>
  <c r="AI18" i="39"/>
  <c r="V13" i="39"/>
  <c r="U13" i="39"/>
  <c r="N12" i="39"/>
  <c r="O12" i="39"/>
  <c r="N17" i="39"/>
  <c r="O17" i="39"/>
  <c r="AX16" i="39"/>
  <c r="AW16" i="39"/>
  <c r="AX21" i="39"/>
  <c r="AW21" i="39"/>
  <c r="AI13" i="39"/>
  <c r="AJ13" i="39"/>
  <c r="AQ12" i="39"/>
  <c r="AP12" i="39"/>
  <c r="V12" i="39"/>
  <c r="U12" i="39"/>
  <c r="AP9" i="39"/>
  <c r="AQ9" i="39"/>
  <c r="AQ13" i="39"/>
  <c r="AP13" i="39"/>
  <c r="AC15" i="39"/>
  <c r="AB15" i="39"/>
  <c r="AC20" i="39"/>
  <c r="AB20" i="39"/>
  <c r="AI21" i="39"/>
  <c r="AJ21" i="39"/>
  <c r="V11" i="39"/>
  <c r="U11" i="39"/>
  <c r="V10" i="39"/>
  <c r="U10" i="39"/>
  <c r="O19" i="39"/>
  <c r="N19" i="39"/>
  <c r="N18" i="39"/>
  <c r="O18" i="39"/>
  <c r="AX10" i="39"/>
  <c r="AW10" i="39"/>
  <c r="AC14" i="39"/>
  <c r="AB14" i="39"/>
  <c r="AQ20" i="39"/>
  <c r="AP20" i="39"/>
  <c r="AQ18" i="39"/>
  <c r="AP18" i="39"/>
  <c r="AC17" i="39"/>
  <c r="AB17" i="39"/>
  <c r="AI12" i="39"/>
  <c r="AJ12" i="39"/>
  <c r="AI9" i="39"/>
  <c r="AJ9" i="39"/>
  <c r="V16" i="39"/>
  <c r="U16" i="39"/>
  <c r="V14" i="39"/>
  <c r="U14" i="39"/>
  <c r="O11" i="39"/>
  <c r="N11" i="39"/>
  <c r="O21" i="39"/>
  <c r="N21" i="39"/>
  <c r="AX11" i="39"/>
  <c r="AW11" i="39"/>
  <c r="AC16" i="39"/>
  <c r="AB16" i="39"/>
  <c r="AC13" i="39"/>
  <c r="AB13" i="39"/>
  <c r="AX17" i="39"/>
  <c r="AW17" i="39"/>
  <c r="AP10" i="39"/>
  <c r="AQ10" i="39"/>
  <c r="AQ19" i="39"/>
  <c r="AP19" i="39"/>
  <c r="AB9" i="39"/>
  <c r="AC9" i="39"/>
  <c r="AJ11" i="39"/>
  <c r="AI11" i="39"/>
  <c r="AJ22" i="39"/>
  <c r="AI22" i="39"/>
  <c r="V19" i="39"/>
  <c r="U19" i="39"/>
  <c r="U15" i="39"/>
  <c r="V15" i="39"/>
  <c r="O22" i="39"/>
  <c r="N22" i="39"/>
  <c r="N20" i="39"/>
  <c r="O20" i="39"/>
  <c r="AX22" i="39"/>
  <c r="AW22" i="39"/>
  <c r="AQ14" i="39"/>
  <c r="AP14" i="39"/>
  <c r="AP15" i="39"/>
  <c r="AQ15" i="39"/>
  <c r="AJ10" i="39"/>
  <c r="AI10" i="39"/>
  <c r="O16" i="39"/>
  <c r="N16" i="39"/>
  <c r="AQ21" i="39"/>
  <c r="AP21" i="39"/>
  <c r="AB11" i="39"/>
  <c r="AC11" i="39"/>
  <c r="AB22" i="39"/>
  <c r="AC22" i="39"/>
  <c r="AJ16" i="39"/>
  <c r="AI16" i="39"/>
  <c r="AJ15" i="39"/>
  <c r="AI15" i="39"/>
  <c r="V9" i="39"/>
  <c r="U9" i="39"/>
  <c r="U17" i="39"/>
  <c r="V17" i="39"/>
  <c r="O10" i="39"/>
  <c r="N10" i="39"/>
  <c r="AX18" i="39"/>
  <c r="AW18" i="39"/>
  <c r="AX19" i="39"/>
  <c r="AW19" i="39"/>
  <c r="AC10" i="39"/>
  <c r="AB10" i="39"/>
  <c r="AJ19" i="39"/>
  <c r="AI19" i="39"/>
  <c r="AJ17" i="39"/>
  <c r="AI17" i="39"/>
  <c r="V22" i="39"/>
  <c r="U22" i="39"/>
  <c r="V20" i="39"/>
  <c r="U20" i="39"/>
  <c r="N9" i="39"/>
  <c r="O9" i="39"/>
  <c r="AW14" i="39"/>
  <c r="AX14" i="39"/>
  <c r="AW9" i="39"/>
  <c r="AX9" i="39"/>
  <c r="N107" i="20"/>
  <c r="N120" i="20"/>
  <c r="N113" i="20"/>
  <c r="N137" i="20"/>
  <c r="N110" i="20"/>
  <c r="N136" i="20"/>
  <c r="N112" i="20"/>
  <c r="N94" i="20"/>
  <c r="N115" i="20"/>
  <c r="N77" i="20"/>
  <c r="N76" i="20"/>
  <c r="N83" i="20"/>
  <c r="N116" i="20"/>
  <c r="N96" i="20"/>
  <c r="N122" i="20"/>
  <c r="N81" i="20"/>
  <c r="N103" i="20"/>
  <c r="N141" i="20"/>
  <c r="N89" i="20"/>
  <c r="N139" i="20"/>
  <c r="N127" i="20"/>
  <c r="N85" i="20"/>
  <c r="N105" i="20"/>
  <c r="N106" i="20"/>
  <c r="N108" i="20"/>
  <c r="N73" i="20"/>
  <c r="N72" i="20"/>
  <c r="N70" i="20"/>
  <c r="P32" i="20"/>
  <c r="O146" i="20"/>
  <c r="O148" i="20" s="1"/>
  <c r="O149" i="20" s="1"/>
  <c r="N67" i="20"/>
  <c r="M145" i="20"/>
  <c r="N98" i="20"/>
  <c r="N99" i="20"/>
  <c r="K238" i="31"/>
  <c r="K169" i="20"/>
  <c r="L168" i="20"/>
  <c r="E35" i="10"/>
  <c r="O140" i="20" l="1"/>
  <c r="N164" i="20"/>
  <c r="O110" i="20"/>
  <c r="O89" i="20"/>
  <c r="O116" i="20"/>
  <c r="O94" i="20"/>
  <c r="O70" i="20"/>
  <c r="O83" i="20"/>
  <c r="O127" i="20"/>
  <c r="O141" i="20"/>
  <c r="O103" i="20"/>
  <c r="O113" i="20"/>
  <c r="O77" i="20"/>
  <c r="O81" i="20"/>
  <c r="O107" i="20"/>
  <c r="O99" i="20"/>
  <c r="O85" i="20"/>
  <c r="O120" i="20"/>
  <c r="Q33" i="20"/>
  <c r="Q146" i="20" s="1"/>
  <c r="Q148" i="20" s="1"/>
  <c r="P146" i="20"/>
  <c r="P148" i="20" s="1"/>
  <c r="P149" i="20" s="1"/>
  <c r="O115" i="20"/>
  <c r="O137" i="20"/>
  <c r="O106" i="20"/>
  <c r="O136" i="20"/>
  <c r="O76" i="20"/>
  <c r="O122" i="20"/>
  <c r="O67" i="20"/>
  <c r="N145" i="20"/>
  <c r="O72" i="20"/>
  <c r="O96" i="20"/>
  <c r="O98" i="20"/>
  <c r="O73" i="20"/>
  <c r="O108" i="20"/>
  <c r="O105" i="20"/>
  <c r="O139" i="20"/>
  <c r="O112" i="20"/>
  <c r="L238" i="31"/>
  <c r="L169" i="20"/>
  <c r="M238" i="31"/>
  <c r="M169" i="20"/>
  <c r="E36" i="10"/>
  <c r="P140" i="20" l="1"/>
  <c r="P98" i="20"/>
  <c r="P96" i="20"/>
  <c r="P112" i="20"/>
  <c r="P106" i="20"/>
  <c r="O164" i="20"/>
  <c r="O168" i="20" s="1"/>
  <c r="P137" i="20"/>
  <c r="P139" i="20"/>
  <c r="Q149" i="20"/>
  <c r="P72" i="20"/>
  <c r="P115" i="20"/>
  <c r="P77" i="20"/>
  <c r="P107" i="20"/>
  <c r="P94" i="20"/>
  <c r="P110" i="20"/>
  <c r="P105" i="20"/>
  <c r="P122" i="20"/>
  <c r="P120" i="20"/>
  <c r="P113" i="20"/>
  <c r="P76" i="20"/>
  <c r="P85" i="20"/>
  <c r="P127" i="20"/>
  <c r="P108" i="20"/>
  <c r="P73" i="20"/>
  <c r="P136" i="20"/>
  <c r="P99" i="20"/>
  <c r="P70" i="20"/>
  <c r="P103" i="20"/>
  <c r="P116" i="20"/>
  <c r="P67" i="20"/>
  <c r="O145" i="20"/>
  <c r="P141" i="20"/>
  <c r="P83" i="20"/>
  <c r="P89" i="20"/>
  <c r="P81" i="20"/>
  <c r="N168" i="20"/>
  <c r="E37" i="10"/>
  <c r="P164" i="20" l="1"/>
  <c r="P168" i="20" s="1"/>
  <c r="Q140" i="20"/>
  <c r="Q73" i="20"/>
  <c r="Q105" i="20"/>
  <c r="Q115" i="20"/>
  <c r="Q81" i="20"/>
  <c r="Q112" i="20"/>
  <c r="Q72" i="20"/>
  <c r="Q127" i="20"/>
  <c r="Q94" i="20"/>
  <c r="Q139" i="20"/>
  <c r="Q96" i="20"/>
  <c r="Q98" i="20"/>
  <c r="Q85" i="20"/>
  <c r="Q107" i="20"/>
  <c r="Q108" i="20"/>
  <c r="Q106" i="20"/>
  <c r="Q137" i="20"/>
  <c r="Q83" i="20"/>
  <c r="Q77" i="20"/>
  <c r="Q113" i="20"/>
  <c r="Q110" i="20"/>
  <c r="Q89" i="20"/>
  <c r="Q136" i="20"/>
  <c r="Q76" i="20"/>
  <c r="Q116" i="20"/>
  <c r="Q141" i="20"/>
  <c r="Q103" i="20"/>
  <c r="Q99" i="20"/>
  <c r="Q120" i="20"/>
  <c r="Q70" i="20"/>
  <c r="Q122" i="20"/>
  <c r="Q67" i="20"/>
  <c r="P145" i="20"/>
  <c r="N238" i="31"/>
  <c r="N169" i="20"/>
  <c r="O238" i="31"/>
  <c r="O169" i="20"/>
  <c r="E38" i="10"/>
  <c r="Q164" i="20" l="1"/>
  <c r="D136" i="31" s="1" a="1"/>
  <c r="P136" i="31" s="1"/>
  <c r="Q145" i="20"/>
  <c r="P238" i="31"/>
  <c r="P169" i="20"/>
  <c r="E39" i="10"/>
  <c r="E136" i="31" l="1"/>
  <c r="Q168" i="20"/>
  <c r="G9" i="39" s="1" a="1"/>
  <c r="G12" i="39" s="1"/>
  <c r="H136" i="31"/>
  <c r="N136" i="31"/>
  <c r="O136" i="31"/>
  <c r="G136" i="31"/>
  <c r="K136" i="31"/>
  <c r="F136" i="31"/>
  <c r="L136" i="31"/>
  <c r="D136" i="31"/>
  <c r="M136" i="31"/>
  <c r="J136" i="31"/>
  <c r="Q136" i="31"/>
  <c r="I136" i="31"/>
  <c r="E40" i="10"/>
  <c r="Q169" i="20" l="1"/>
  <c r="Q238" i="31"/>
  <c r="G15" i="39"/>
  <c r="G10" i="39"/>
  <c r="G17" i="39"/>
  <c r="G14" i="39"/>
  <c r="G9" i="39"/>
  <c r="G11" i="39"/>
  <c r="G21" i="39"/>
  <c r="G22" i="39"/>
  <c r="G13" i="39"/>
  <c r="G20" i="39"/>
  <c r="G18" i="39"/>
  <c r="G16" i="39"/>
  <c r="G19" i="39"/>
  <c r="E41" i="10"/>
  <c r="Q257" i="31" l="1"/>
  <c r="G265" i="31"/>
  <c r="Q249" i="31"/>
  <c r="H249" i="31"/>
  <c r="L253" i="31"/>
  <c r="E249" i="31"/>
  <c r="L249" i="31"/>
  <c r="K269" i="31" l="1"/>
  <c r="H265" i="31"/>
  <c r="H257" i="31"/>
  <c r="G261" i="31"/>
  <c r="M249" i="31"/>
  <c r="I261" i="31"/>
  <c r="K261" i="31"/>
  <c r="F265" i="31"/>
  <c r="D257" i="31"/>
  <c r="J261" i="31"/>
  <c r="J249" i="31"/>
  <c r="P253" i="31"/>
  <c r="Q269" i="31"/>
  <c r="F269" i="31"/>
  <c r="H269" i="31"/>
  <c r="K257" i="31"/>
  <c r="I253" i="31"/>
  <c r="G269" i="31"/>
  <c r="P257" i="31"/>
  <c r="O261" i="31"/>
  <c r="F257" i="31"/>
  <c r="N253" i="31"/>
  <c r="D249" i="31"/>
  <c r="H261" i="31"/>
  <c r="F261" i="31"/>
  <c r="L261" i="31"/>
  <c r="J253" i="31"/>
  <c r="J269" i="31"/>
  <c r="Q261" i="31"/>
  <c r="M269" i="31"/>
  <c r="D261" i="31"/>
  <c r="J265" i="31"/>
  <c r="D265" i="31"/>
  <c r="I249" i="31"/>
  <c r="O249" i="31"/>
  <c r="G253" i="31"/>
  <c r="L269" i="31"/>
  <c r="G257" i="31"/>
  <c r="N269" i="31"/>
  <c r="M253" i="31"/>
  <c r="P249" i="31"/>
  <c r="M257" i="31"/>
  <c r="E253" i="31"/>
  <c r="F253" i="31"/>
  <c r="K253" i="31"/>
  <c r="N261" i="31"/>
  <c r="Q265" i="31"/>
  <c r="M265" i="31"/>
  <c r="K265" i="31"/>
  <c r="M261" i="31"/>
  <c r="N249" i="31"/>
  <c r="O269" i="31"/>
  <c r="P269" i="31"/>
  <c r="H253" i="31"/>
  <c r="I269" i="31"/>
  <c r="K249" i="31"/>
  <c r="P265" i="31"/>
  <c r="Q253" i="31"/>
  <c r="E261" i="31"/>
  <c r="F249" i="31"/>
  <c r="J257" i="31"/>
  <c r="P261" i="31"/>
  <c r="G249" i="31"/>
  <c r="D269" i="31"/>
  <c r="D253" i="31"/>
  <c r="E269" i="31"/>
  <c r="O253" i="31"/>
  <c r="N265" i="31"/>
  <c r="I265" i="31"/>
  <c r="O265" i="31"/>
  <c r="E265" i="31"/>
  <c r="E257" i="31" l="1"/>
  <c r="N257" i="31"/>
  <c r="O257" i="31"/>
  <c r="L257" i="31"/>
  <c r="L265" i="31"/>
  <c r="I257" i="31"/>
  <c r="AA10" i="39" l="1"/>
  <c r="AG12" i="39"/>
  <c r="AU13" i="39"/>
  <c r="AU9" i="39"/>
  <c r="AH19" i="39"/>
  <c r="AA22" i="39"/>
  <c r="M22" i="39"/>
  <c r="L10" i="39"/>
  <c r="S10" i="39"/>
  <c r="AO22" i="39"/>
  <c r="S11" i="39"/>
  <c r="AU20" i="39"/>
  <c r="AU11" i="39"/>
  <c r="AG20" i="39"/>
  <c r="S15" i="39"/>
  <c r="AU22" i="39"/>
  <c r="L19" i="39"/>
  <c r="AG14" i="39"/>
  <c r="AH15" i="39"/>
  <c r="T20" i="39"/>
  <c r="S16" i="39"/>
  <c r="S12" i="39"/>
  <c r="AA19" i="39"/>
  <c r="Z9" i="39"/>
  <c r="S17" i="39"/>
  <c r="AH17" i="39"/>
  <c r="AG21" i="39"/>
  <c r="AU14" i="39"/>
  <c r="AV21" i="39"/>
  <c r="AU18" i="39"/>
  <c r="S19" i="39"/>
  <c r="AV17" i="39"/>
  <c r="AU12" i="39"/>
  <c r="L9" i="39"/>
  <c r="AU19" i="39"/>
  <c r="AN19" i="39"/>
  <c r="AO10" i="39"/>
  <c r="AU15" i="39"/>
  <c r="AU10" i="39"/>
  <c r="AG10" i="39"/>
  <c r="T18" i="39"/>
  <c r="S9" i="39"/>
  <c r="AN9" i="39"/>
  <c r="AV20" i="39"/>
  <c r="AU16" i="39"/>
  <c r="AV16" i="39"/>
  <c r="AG11" i="39"/>
  <c r="AG18" i="39"/>
  <c r="AG9" i="39"/>
  <c r="AH13" i="39"/>
  <c r="AG16" i="39"/>
  <c r="AG13" i="39"/>
  <c r="T14" i="39"/>
  <c r="S21" i="39"/>
  <c r="S13" i="39"/>
  <c r="S14" i="39"/>
  <c r="AN22" i="39" l="1"/>
  <c r="AV13" i="39"/>
  <c r="AU17" i="39"/>
  <c r="AV22" i="39"/>
  <c r="S20" i="39"/>
  <c r="AV14" i="39"/>
  <c r="AV15" i="39"/>
  <c r="M10" i="39"/>
  <c r="AV10" i="39"/>
  <c r="AN10" i="39"/>
  <c r="AV19" i="39"/>
  <c r="T17" i="39"/>
  <c r="T11" i="39"/>
  <c r="AV9" i="39"/>
  <c r="AH10" i="39"/>
  <c r="AO9" i="39"/>
  <c r="AU21" i="39"/>
  <c r="AV18" i="39"/>
  <c r="AV11" i="39"/>
  <c r="AH14" i="39"/>
  <c r="AV12" i="39"/>
  <c r="Z10" i="39"/>
  <c r="T10" i="39"/>
  <c r="M9" i="39"/>
  <c r="AG19" i="39"/>
  <c r="AO19" i="39"/>
  <c r="AH9" i="39"/>
  <c r="Z19" i="39"/>
  <c r="AA9" i="39"/>
  <c r="T19" i="39"/>
  <c r="T9" i="39"/>
  <c r="M19" i="39"/>
  <c r="Z22" i="39"/>
  <c r="AH11" i="39"/>
  <c r="T12" i="39"/>
  <c r="AH16" i="39"/>
  <c r="AG17" i="39"/>
  <c r="AH12" i="39"/>
  <c r="T16" i="39"/>
  <c r="AH21" i="39"/>
  <c r="AH20" i="39"/>
  <c r="T13" i="39"/>
  <c r="S18" i="39"/>
  <c r="AG15" i="39"/>
  <c r="AN14" i="39"/>
  <c r="AO14" i="39"/>
  <c r="AN18" i="39"/>
  <c r="AO18" i="39"/>
  <c r="AN17" i="39"/>
  <c r="AO17" i="39"/>
  <c r="AN20" i="39"/>
  <c r="AO20" i="39"/>
  <c r="AN15" i="39"/>
  <c r="AO15" i="39"/>
  <c r="AN12" i="39"/>
  <c r="AO12" i="39"/>
  <c r="AN11" i="39"/>
  <c r="AO11" i="39"/>
  <c r="AH18" i="39"/>
  <c r="AN21" i="39"/>
  <c r="AO21" i="39"/>
  <c r="AN16" i="39"/>
  <c r="AO16" i="39"/>
  <c r="AN13" i="39"/>
  <c r="AO13" i="39"/>
  <c r="T15" i="39"/>
  <c r="AG22" i="39"/>
  <c r="AH22" i="39"/>
  <c r="T21" i="39"/>
  <c r="Z15" i="39"/>
  <c r="AA15" i="39"/>
  <c r="Z16" i="39"/>
  <c r="AA16" i="39"/>
  <c r="Z14" i="39"/>
  <c r="AA14" i="39"/>
  <c r="Z17" i="39"/>
  <c r="AA17" i="39"/>
  <c r="Z13" i="39"/>
  <c r="AA13" i="39"/>
  <c r="Z20" i="39"/>
  <c r="AA20" i="39"/>
  <c r="Z18" i="39"/>
  <c r="AA18" i="39"/>
  <c r="Z12" i="39"/>
  <c r="AA12" i="39"/>
  <c r="Z11" i="39"/>
  <c r="AA11" i="39"/>
  <c r="Z21" i="39"/>
  <c r="AA21" i="39"/>
  <c r="L22" i="39"/>
  <c r="S22" i="39"/>
  <c r="T22" i="39"/>
  <c r="L18" i="39"/>
  <c r="M18" i="39"/>
  <c r="L12" i="39"/>
  <c r="M12" i="39"/>
  <c r="L20" i="39"/>
  <c r="M20" i="39"/>
  <c r="L15" i="39"/>
  <c r="M15" i="39"/>
  <c r="L16" i="39"/>
  <c r="M16" i="39"/>
  <c r="L11" i="39"/>
  <c r="M11" i="39"/>
  <c r="L21" i="39"/>
  <c r="M21" i="39"/>
  <c r="L14" i="39"/>
  <c r="M14" i="39"/>
  <c r="L17" i="39"/>
  <c r="M17" i="39"/>
  <c r="L13" i="39"/>
  <c r="M13" i="39"/>
  <c r="E93" i="31" l="1"/>
  <c r="D96" i="31"/>
  <c r="AQ202" i="20" l="1" a="1"/>
  <c r="AQ202" i="20" s="1"/>
  <c r="AQ200" i="20" a="1"/>
  <c r="AQ200" i="20" s="1"/>
  <c r="AQ198" i="20" a="1"/>
  <c r="AQ198" i="20" s="1"/>
  <c r="AQ199" i="20" a="1"/>
  <c r="AQ199" i="20" s="1"/>
  <c r="AQ201" i="20" a="1"/>
  <c r="AQ201" i="20" s="1"/>
  <c r="AQ203" i="20" a="1"/>
  <c r="AQ203" i="20" s="1"/>
  <c r="C95" i="31"/>
  <c r="C94" i="31"/>
  <c r="C93" i="31"/>
  <c r="D94" i="31"/>
  <c r="C96" i="31"/>
  <c r="E96" i="31"/>
  <c r="E95" i="31"/>
  <c r="D93" i="31"/>
  <c r="D95" i="31"/>
  <c r="E94" i="31"/>
  <c r="AT199" i="20" l="1" a="1"/>
  <c r="AT199" i="20" s="1"/>
  <c r="U199" i="20" s="1"/>
  <c r="AT203" i="20" a="1"/>
  <c r="AT203" i="20" s="1"/>
  <c r="U203" i="20" s="1"/>
  <c r="AT198" i="20" a="1"/>
  <c r="AT198" i="20" s="1"/>
  <c r="AT200" i="20" a="1"/>
  <c r="AT200" i="20" s="1"/>
  <c r="U200" i="20" s="1"/>
  <c r="AT202" i="20" a="1"/>
  <c r="AT202" i="20" s="1"/>
  <c r="U202" i="20" s="1"/>
  <c r="AT201" i="20" a="1"/>
  <c r="AT201" i="20" s="1"/>
  <c r="U201" i="20" s="1"/>
  <c r="AS198" i="20" a="1"/>
  <c r="AS198" i="20" s="1"/>
  <c r="T198" i="20" s="1"/>
  <c r="AS201" i="20" a="1"/>
  <c r="AS201" i="20" s="1"/>
  <c r="T201" i="20" s="1"/>
  <c r="AS199" i="20" a="1"/>
  <c r="AS199" i="20" s="1"/>
  <c r="T199" i="20" s="1"/>
  <c r="AS202" i="20" a="1"/>
  <c r="AS202" i="20" s="1"/>
  <c r="T202" i="20" s="1"/>
  <c r="AS200" i="20" a="1"/>
  <c r="AS200" i="20" s="1"/>
  <c r="T200" i="20" s="1"/>
  <c r="AS203" i="20" a="1"/>
  <c r="AS203" i="20" s="1"/>
  <c r="T203" i="20" s="1"/>
  <c r="AV202" i="20" a="1"/>
  <c r="AV202" i="20" s="1"/>
  <c r="Z202" i="20" s="1"/>
  <c r="AV199" i="20" a="1"/>
  <c r="AV199" i="20" s="1"/>
  <c r="Z199" i="20" s="1"/>
  <c r="AV203" i="20" a="1"/>
  <c r="AV203" i="20" s="1"/>
  <c r="Z203" i="20" s="1"/>
  <c r="AV201" i="20" a="1"/>
  <c r="AV201" i="20" s="1"/>
  <c r="Z201" i="20" s="1"/>
  <c r="AV200" i="20" a="1"/>
  <c r="AV200" i="20" s="1"/>
  <c r="Z200" i="20" s="1"/>
  <c r="AV198" i="20" a="1"/>
  <c r="AV198" i="20" s="1"/>
  <c r="Z198" i="20" s="1"/>
  <c r="AP202" i="20" a="1"/>
  <c r="AP202" i="20" s="1"/>
  <c r="AP203" i="20" a="1"/>
  <c r="AP203" i="20" s="1"/>
  <c r="AP201" i="20" a="1"/>
  <c r="AP201" i="20" s="1"/>
  <c r="AP199" i="20" a="1"/>
  <c r="AP199" i="20" s="1"/>
  <c r="AP198" i="20" a="1"/>
  <c r="AP198" i="20" s="1"/>
  <c r="AP200" i="20" a="1"/>
  <c r="AP200" i="20" s="1"/>
  <c r="AR203" i="20" a="1"/>
  <c r="AR203" i="20" s="1"/>
  <c r="S203" i="20" s="1"/>
  <c r="AR201" i="20" a="1"/>
  <c r="AR201" i="20" s="1"/>
  <c r="S201" i="20" s="1"/>
  <c r="AR200" i="20" a="1"/>
  <c r="AR200" i="20" s="1"/>
  <c r="S200" i="20" s="1"/>
  <c r="AR202" i="20" a="1"/>
  <c r="AR202" i="20" s="1"/>
  <c r="S202" i="20" s="1"/>
  <c r="AR198" i="20" a="1"/>
  <c r="AR198" i="20" s="1"/>
  <c r="S198" i="20" s="1"/>
  <c r="AR199" i="20" a="1"/>
  <c r="AR199" i="20" s="1"/>
  <c r="S199" i="20" s="1"/>
  <c r="AO199" i="20" a="1"/>
  <c r="AO199" i="20" s="1"/>
  <c r="AO202" i="20" a="1"/>
  <c r="AO202" i="20" s="1"/>
  <c r="AO203" i="20" a="1"/>
  <c r="AO203" i="20" s="1"/>
  <c r="AO198" i="20" a="1"/>
  <c r="AO198" i="20" s="1"/>
  <c r="AO201" i="20" a="1"/>
  <c r="AO201" i="20" s="1"/>
  <c r="AO200" i="20" a="1"/>
  <c r="AO200" i="20" s="1"/>
  <c r="AW201" i="20" a="1"/>
  <c r="AW201" i="20" s="1"/>
  <c r="AA201" i="20" s="1"/>
  <c r="AW198" i="20" a="1"/>
  <c r="AW198" i="20" s="1"/>
  <c r="AA198" i="20" s="1"/>
  <c r="AW202" i="20" a="1"/>
  <c r="AW202" i="20" s="1"/>
  <c r="AA202" i="20" s="1"/>
  <c r="AW199" i="20" a="1"/>
  <c r="AW199" i="20" s="1"/>
  <c r="AA199" i="20" s="1"/>
  <c r="AW200" i="20" a="1"/>
  <c r="AW200" i="20" s="1"/>
  <c r="AA200" i="20" s="1"/>
  <c r="AW203" i="20" a="1"/>
  <c r="AW203" i="20" s="1"/>
  <c r="AA203" i="20" s="1"/>
  <c r="AU199" i="20" a="1"/>
  <c r="AU199" i="20" s="1"/>
  <c r="Y199" i="20" s="1"/>
  <c r="AU202" i="20" a="1"/>
  <c r="AU202" i="20" s="1"/>
  <c r="Y202" i="20" s="1"/>
  <c r="AU203" i="20" a="1"/>
  <c r="AU203" i="20" s="1"/>
  <c r="Y203" i="20" s="1"/>
  <c r="AU198" i="20" a="1"/>
  <c r="AU198" i="20" s="1"/>
  <c r="Y198" i="20" s="1"/>
  <c r="AU201" i="20" a="1"/>
  <c r="AU201" i="20" s="1"/>
  <c r="Y201" i="20" s="1"/>
  <c r="AU200" i="20" a="1"/>
  <c r="AU200" i="20" s="1"/>
  <c r="Y200" i="20" s="1"/>
  <c r="U198" i="20"/>
  <c r="R201" i="20"/>
  <c r="R202" i="20"/>
  <c r="R198" i="20"/>
  <c r="R200" i="20"/>
  <c r="R199" i="20"/>
  <c r="R203" i="20"/>
  <c r="BF199" i="20" l="1"/>
  <c r="BF201" i="20"/>
  <c r="BF200" i="20"/>
  <c r="E199" i="20"/>
  <c r="I228" i="20" s="1"/>
  <c r="BF198" i="20"/>
  <c r="BF203" i="20"/>
  <c r="G200" i="20"/>
  <c r="E203" i="20"/>
  <c r="I232" i="20" s="1"/>
  <c r="E202" i="20"/>
  <c r="F231" i="20" s="1"/>
  <c r="E200" i="20"/>
  <c r="D229" i="20" s="1"/>
  <c r="G199" i="20"/>
  <c r="G201" i="20"/>
  <c r="E198" i="20"/>
  <c r="BF202" i="20"/>
  <c r="G198" i="20"/>
  <c r="E201" i="20"/>
  <c r="G203" i="20"/>
  <c r="G202" i="20"/>
  <c r="BE202" i="20"/>
  <c r="Q202" i="20"/>
  <c r="BE198" i="20"/>
  <c r="Q198" i="20"/>
  <c r="Q199" i="20"/>
  <c r="BE199" i="20"/>
  <c r="BE200" i="20"/>
  <c r="Q200" i="20"/>
  <c r="BE203" i="20"/>
  <c r="Q203" i="20"/>
  <c r="BE201" i="20"/>
  <c r="Q201" i="20"/>
  <c r="BD201" i="20"/>
  <c r="P201" i="20"/>
  <c r="BD203" i="20"/>
  <c r="P203" i="20"/>
  <c r="BD199" i="20"/>
  <c r="P199" i="20"/>
  <c r="BD198" i="20"/>
  <c r="P198" i="20"/>
  <c r="BD200" i="20"/>
  <c r="P200" i="20"/>
  <c r="BD202" i="20"/>
  <c r="P202" i="20"/>
  <c r="D228" i="20" l="1"/>
  <c r="G228" i="20"/>
  <c r="P228" i="20"/>
  <c r="Q228" i="20"/>
  <c r="M228" i="20"/>
  <c r="L228" i="20"/>
  <c r="K228" i="20"/>
  <c r="N228" i="20"/>
  <c r="J228" i="20"/>
  <c r="F228" i="20"/>
  <c r="E228" i="20"/>
  <c r="O228" i="20"/>
  <c r="H228" i="20"/>
  <c r="O231" i="20"/>
  <c r="H231" i="20"/>
  <c r="N229" i="20"/>
  <c r="Q232" i="20"/>
  <c r="E229" i="20"/>
  <c r="P232" i="20"/>
  <c r="P229" i="20"/>
  <c r="O229" i="20"/>
  <c r="F229" i="20"/>
  <c r="O232" i="20"/>
  <c r="I229" i="20"/>
  <c r="Q231" i="20"/>
  <c r="P231" i="20"/>
  <c r="M229" i="20"/>
  <c r="M231" i="20"/>
  <c r="N232" i="20"/>
  <c r="L229" i="20"/>
  <c r="L231" i="20"/>
  <c r="K229" i="20"/>
  <c r="J231" i="20"/>
  <c r="M232" i="20"/>
  <c r="Q229" i="20"/>
  <c r="G229" i="20"/>
  <c r="D231" i="20"/>
  <c r="L232" i="20"/>
  <c r="E231" i="20"/>
  <c r="K232" i="20"/>
  <c r="I231" i="20"/>
  <c r="N231" i="20"/>
  <c r="J232" i="20"/>
  <c r="H232" i="20"/>
  <c r="K231" i="20"/>
  <c r="G232" i="20"/>
  <c r="F232" i="20"/>
  <c r="E232" i="20"/>
  <c r="D232" i="20"/>
  <c r="G231" i="20"/>
  <c r="J229" i="20"/>
  <c r="H229" i="20"/>
  <c r="D199" i="20"/>
  <c r="M221" i="20" s="1"/>
  <c r="H234" i="20"/>
  <c r="H237" i="31" s="1"/>
  <c r="E234" i="20"/>
  <c r="E237" i="31" s="1"/>
  <c r="F234" i="20"/>
  <c r="F237" i="31" s="1"/>
  <c r="I234" i="20"/>
  <c r="I237" i="31" s="1"/>
  <c r="D234" i="20"/>
  <c r="D237" i="31" s="1"/>
  <c r="G234" i="20"/>
  <c r="G237" i="31" s="1"/>
  <c r="J234" i="20"/>
  <c r="J237" i="31" s="1"/>
  <c r="K234" i="20"/>
  <c r="K237" i="31" s="1"/>
  <c r="L234" i="20"/>
  <c r="L237" i="31" s="1"/>
  <c r="M234" i="20"/>
  <c r="M237" i="31" s="1"/>
  <c r="N234" i="20"/>
  <c r="N237" i="31" s="1"/>
  <c r="O234" i="20"/>
  <c r="O237" i="31" s="1"/>
  <c r="P234" i="20"/>
  <c r="P237" i="31" s="1"/>
  <c r="Q234" i="20"/>
  <c r="Q237" i="31" s="1"/>
  <c r="E227" i="20"/>
  <c r="D227" i="20"/>
  <c r="F227" i="20"/>
  <c r="G227" i="20"/>
  <c r="H227" i="20"/>
  <c r="I227" i="20"/>
  <c r="J227" i="20"/>
  <c r="K227" i="20"/>
  <c r="L227" i="20"/>
  <c r="M227" i="20"/>
  <c r="N227" i="20"/>
  <c r="O227" i="20"/>
  <c r="P227" i="20"/>
  <c r="Q227" i="20"/>
  <c r="H230" i="20"/>
  <c r="I230" i="20"/>
  <c r="D230" i="20"/>
  <c r="E230" i="20"/>
  <c r="F230" i="20"/>
  <c r="G230" i="20"/>
  <c r="J230" i="20"/>
  <c r="K230" i="20"/>
  <c r="L230" i="20"/>
  <c r="M230" i="20"/>
  <c r="N230" i="20"/>
  <c r="O230" i="20"/>
  <c r="P230" i="20"/>
  <c r="Q230" i="20"/>
  <c r="D198" i="20"/>
  <c r="N220" i="20" s="1"/>
  <c r="D202" i="20"/>
  <c r="J224" i="20" s="1"/>
  <c r="D203" i="20"/>
  <c r="E225" i="20" s="1"/>
  <c r="D200" i="20"/>
  <c r="N222" i="20" s="1"/>
  <c r="D201" i="20"/>
  <c r="M223" i="20" s="1"/>
  <c r="C235" i="20" l="1"/>
  <c r="C236" i="20"/>
  <c r="Q221" i="20"/>
  <c r="G221" i="20"/>
  <c r="J221" i="20"/>
  <c r="H221" i="20"/>
  <c r="L221" i="20"/>
  <c r="E221" i="20"/>
  <c r="F221" i="20"/>
  <c r="N221" i="20"/>
  <c r="J236" i="31"/>
  <c r="I221" i="20"/>
  <c r="P221" i="20"/>
  <c r="O221" i="20"/>
  <c r="K221" i="20"/>
  <c r="D221" i="20"/>
  <c r="K236" i="31"/>
  <c r="M236" i="31"/>
  <c r="D236" i="31"/>
  <c r="L236" i="31"/>
  <c r="E236" i="31"/>
  <c r="Q236" i="31"/>
  <c r="I236" i="31"/>
  <c r="P236" i="31"/>
  <c r="H236" i="31"/>
  <c r="O236" i="31"/>
  <c r="G236" i="31"/>
  <c r="N236" i="31"/>
  <c r="F236" i="31"/>
  <c r="G225" i="20"/>
  <c r="D225" i="20"/>
  <c r="K225" i="20"/>
  <c r="O220" i="20"/>
  <c r="D220" i="20"/>
  <c r="K220" i="20"/>
  <c r="G220" i="20"/>
  <c r="M220" i="20"/>
  <c r="F220" i="20"/>
  <c r="H220" i="20"/>
  <c r="E220" i="20"/>
  <c r="J220" i="20"/>
  <c r="Q220" i="20"/>
  <c r="I220" i="20"/>
  <c r="P220" i="20"/>
  <c r="L220" i="20"/>
  <c r="N225" i="20"/>
  <c r="O224" i="20"/>
  <c r="D224" i="20"/>
  <c r="Q224" i="20"/>
  <c r="N224" i="20"/>
  <c r="L224" i="20"/>
  <c r="F224" i="20"/>
  <c r="H224" i="20"/>
  <c r="P225" i="20"/>
  <c r="F225" i="20"/>
  <c r="I225" i="20"/>
  <c r="M225" i="20"/>
  <c r="J225" i="20"/>
  <c r="H225" i="20"/>
  <c r="O225" i="20"/>
  <c r="L225" i="20"/>
  <c r="Q225" i="20"/>
  <c r="E224" i="20"/>
  <c r="K224" i="20"/>
  <c r="M224" i="20"/>
  <c r="P224" i="20"/>
  <c r="I224" i="20"/>
  <c r="G224" i="20"/>
  <c r="I223" i="20"/>
  <c r="G223" i="20"/>
  <c r="F223" i="20"/>
  <c r="P223" i="20"/>
  <c r="M222" i="20"/>
  <c r="I222" i="20"/>
  <c r="F222" i="20"/>
  <c r="O222" i="20"/>
  <c r="Q223" i="20"/>
  <c r="N223" i="20"/>
  <c r="K223" i="20"/>
  <c r="K222" i="20"/>
  <c r="O223" i="20"/>
  <c r="H223" i="20"/>
  <c r="L222" i="20"/>
  <c r="E222" i="20"/>
  <c r="J223" i="20"/>
  <c r="E223" i="20"/>
  <c r="D222" i="20"/>
  <c r="G222" i="20"/>
  <c r="D223" i="20"/>
  <c r="H222" i="20"/>
  <c r="P222" i="20"/>
  <c r="L223" i="20"/>
  <c r="Q222" i="20"/>
  <c r="J222" i="20"/>
  <c r="M235" i="31" l="1"/>
  <c r="M234" i="31" s="1"/>
  <c r="M235" i="20"/>
  <c r="O235" i="31"/>
  <c r="O234" i="31" s="1"/>
  <c r="N236" i="20"/>
  <c r="Q235" i="31"/>
  <c r="Q234" i="31" s="1"/>
  <c r="G235" i="31"/>
  <c r="G234" i="31" s="1"/>
  <c r="N235" i="20"/>
  <c r="F236" i="20"/>
  <c r="I235" i="31"/>
  <c r="I234" i="31" s="1"/>
  <c r="I235" i="20"/>
  <c r="I236" i="20"/>
  <c r="F235" i="20"/>
  <c r="F235" i="31"/>
  <c r="F234" i="31" s="1"/>
  <c r="L235" i="20"/>
  <c r="M236" i="20"/>
  <c r="J235" i="20"/>
  <c r="P236" i="20"/>
  <c r="N235" i="31"/>
  <c r="N234" i="31" s="1"/>
  <c r="L236" i="20"/>
  <c r="Q235" i="20"/>
  <c r="O236" i="20"/>
  <c r="K235" i="31"/>
  <c r="K234" i="31" s="1"/>
  <c r="H236" i="20"/>
  <c r="K236" i="20"/>
  <c r="Q236" i="20"/>
  <c r="D236" i="20"/>
  <c r="O235" i="20"/>
  <c r="G235" i="20"/>
  <c r="G236" i="20"/>
  <c r="H235" i="20"/>
  <c r="D235" i="20"/>
  <c r="H235" i="31"/>
  <c r="H234" i="31" s="1"/>
  <c r="J236" i="20"/>
  <c r="E235" i="20"/>
  <c r="K235" i="20"/>
  <c r="E235" i="31"/>
  <c r="E234" i="31" s="1"/>
  <c r="L235" i="31"/>
  <c r="L234" i="31" s="1"/>
  <c r="P235" i="20"/>
  <c r="J235" i="31"/>
  <c r="J234" i="31" s="1"/>
  <c r="D235" i="31"/>
  <c r="D234" i="31" s="1"/>
  <c r="P235" i="31"/>
  <c r="P234" i="31" s="1"/>
  <c r="E236" i="20"/>
  <c r="N239" i="31" l="1"/>
  <c r="M239" i="31"/>
  <c r="N238" i="20"/>
  <c r="N240" i="20" s="1"/>
  <c r="N242" i="20" s="1"/>
  <c r="F238" i="20"/>
  <c r="F244" i="20" s="1"/>
  <c r="F246" i="20" s="1"/>
  <c r="F239" i="31"/>
  <c r="P239" i="31"/>
  <c r="L239" i="31"/>
  <c r="L238" i="20"/>
  <c r="L244" i="20" s="1"/>
  <c r="L246" i="20" s="1"/>
  <c r="I239" i="31"/>
  <c r="H239" i="31"/>
  <c r="I238" i="20"/>
  <c r="I244" i="20" s="1"/>
  <c r="I246" i="20" s="1"/>
  <c r="O238" i="20"/>
  <c r="O240" i="20" s="1"/>
  <c r="O242" i="20" s="1"/>
  <c r="J239" i="31"/>
  <c r="M238" i="20"/>
  <c r="M240" i="20" s="1"/>
  <c r="M242" i="20" s="1"/>
  <c r="Q239" i="31"/>
  <c r="O239" i="31"/>
  <c r="J238" i="20"/>
  <c r="J240" i="20" s="1"/>
  <c r="J242" i="20" s="1"/>
  <c r="P238" i="20"/>
  <c r="P240" i="20" s="1"/>
  <c r="P242" i="20" s="1"/>
  <c r="D239" i="31"/>
  <c r="E239" i="31"/>
  <c r="G238" i="20"/>
  <c r="G244" i="20" s="1"/>
  <c r="G246" i="20" s="1"/>
  <c r="G239" i="31"/>
  <c r="Q238" i="20"/>
  <c r="E238" i="20"/>
  <c r="E244" i="20" s="1"/>
  <c r="E246" i="20" s="1"/>
  <c r="K239" i="31"/>
  <c r="K238" i="20"/>
  <c r="D238" i="20"/>
  <c r="D240" i="20" s="1"/>
  <c r="D242" i="20" s="1"/>
  <c r="H238" i="20"/>
  <c r="F240" i="20" l="1"/>
  <c r="F242" i="20" s="1"/>
  <c r="N244" i="20"/>
  <c r="N246" i="20" s="1"/>
  <c r="M244" i="20"/>
  <c r="M246" i="20" s="1"/>
  <c r="L240" i="20"/>
  <c r="L242" i="20" s="1"/>
  <c r="G240" i="20"/>
  <c r="G242" i="20" s="1"/>
  <c r="I240" i="20"/>
  <c r="I242" i="20" s="1"/>
  <c r="O244" i="20"/>
  <c r="O246" i="20" s="1"/>
  <c r="J244" i="20"/>
  <c r="J246" i="20" s="1"/>
  <c r="P244" i="20"/>
  <c r="P246" i="20" s="1"/>
  <c r="Q240" i="20"/>
  <c r="Q242" i="20" s="1"/>
  <c r="Q244" i="20"/>
  <c r="Q246" i="20" s="1"/>
  <c r="K244" i="20"/>
  <c r="K246" i="20" s="1"/>
  <c r="K240" i="20"/>
  <c r="K242" i="20" s="1"/>
  <c r="H9" i="39" a="1"/>
  <c r="H16" i="39" s="1"/>
  <c r="E16" i="39" s="1"/>
  <c r="D244" i="20"/>
  <c r="D246" i="20" s="1"/>
  <c r="E240" i="20"/>
  <c r="E242" i="20" s="1"/>
  <c r="H240" i="20"/>
  <c r="H242" i="20" s="1"/>
  <c r="H244" i="20"/>
  <c r="H246" i="20" s="1"/>
  <c r="H11" i="39" l="1"/>
  <c r="F11" i="39" s="1"/>
  <c r="H13" i="39"/>
  <c r="E13" i="39" s="1"/>
  <c r="H14" i="39"/>
  <c r="F14" i="39" s="1"/>
  <c r="H18" i="39"/>
  <c r="H20" i="39"/>
  <c r="H21" i="39"/>
  <c r="F16" i="39"/>
  <c r="H17" i="39"/>
  <c r="H19" i="39"/>
  <c r="F19" i="39" s="1"/>
  <c r="H15" i="39"/>
  <c r="H22" i="39"/>
  <c r="H10" i="39"/>
  <c r="F10" i="39" s="1"/>
  <c r="H12" i="39"/>
  <c r="F12" i="39" s="1"/>
  <c r="H9" i="39"/>
  <c r="E10" i="39" l="1"/>
  <c r="E11" i="39"/>
  <c r="F13" i="39"/>
  <c r="E14" i="39"/>
  <c r="F17" i="39"/>
  <c r="E17" i="39"/>
  <c r="F9" i="39"/>
  <c r="E9" i="39"/>
  <c r="F21" i="39"/>
  <c r="E21" i="39"/>
  <c r="F20" i="39"/>
  <c r="E20" i="39"/>
  <c r="F18" i="39"/>
  <c r="E18" i="39"/>
  <c r="E19" i="39"/>
  <c r="F22" i="39"/>
  <c r="E22" i="39"/>
  <c r="E12" i="39"/>
  <c r="E15" i="39"/>
  <c r="F15" i="39"/>
</calcChain>
</file>

<file path=xl/sharedStrings.xml><?xml version="1.0" encoding="utf-8"?>
<sst xmlns="http://schemas.openxmlformats.org/spreadsheetml/2006/main" count="4662" uniqueCount="474">
  <si>
    <t>Region</t>
  </si>
  <si>
    <t>LGA</t>
  </si>
  <si>
    <t>Total</t>
  </si>
  <si>
    <t>NEV</t>
  </si>
  <si>
    <t>Alpine</t>
  </si>
  <si>
    <t>Benalla</t>
  </si>
  <si>
    <t>Boroondara</t>
  </si>
  <si>
    <t>Greater Shepparton</t>
  </si>
  <si>
    <t>Indigo</t>
  </si>
  <si>
    <t>Knox</t>
  </si>
  <si>
    <t>Manningham</t>
  </si>
  <si>
    <t>Mansfield</t>
  </si>
  <si>
    <t>Maroondah</t>
  </si>
  <si>
    <t>Mitchell</t>
  </si>
  <si>
    <t>Moira</t>
  </si>
  <si>
    <t>Monash</t>
  </si>
  <si>
    <t>Murrindindi</t>
  </si>
  <si>
    <t>Strathbogie</t>
  </si>
  <si>
    <t>Towong</t>
  </si>
  <si>
    <t>Wangaratta</t>
  </si>
  <si>
    <t>Whitehorse</t>
  </si>
  <si>
    <t>Wodonga</t>
  </si>
  <si>
    <t>Yarra Ranges</t>
  </si>
  <si>
    <t>NWV</t>
  </si>
  <si>
    <t>Banyule</t>
  </si>
  <si>
    <t>Buloke</t>
  </si>
  <si>
    <t>Campaspe</t>
  </si>
  <si>
    <t>Central Goldfields</t>
  </si>
  <si>
    <t>Darebin</t>
  </si>
  <si>
    <t>Gannawarra</t>
  </si>
  <si>
    <t>Greater Bendigo</t>
  </si>
  <si>
    <t>Hume</t>
  </si>
  <si>
    <t>Loddon</t>
  </si>
  <si>
    <t>Macedon Ranges</t>
  </si>
  <si>
    <t>Mildura</t>
  </si>
  <si>
    <t>Moreland</t>
  </si>
  <si>
    <t>Mount Alexander</t>
  </si>
  <si>
    <t>Nillumbik</t>
  </si>
  <si>
    <t>Swan Hill</t>
  </si>
  <si>
    <t>Whittlesea</t>
  </si>
  <si>
    <t>Yarra</t>
  </si>
  <si>
    <t>SEV</t>
  </si>
  <si>
    <t>Bass Coast</t>
  </si>
  <si>
    <t>Baw Baw</t>
  </si>
  <si>
    <t>Bayside</t>
  </si>
  <si>
    <t>Cardinia</t>
  </si>
  <si>
    <t>Casey</t>
  </si>
  <si>
    <t>Frankston</t>
  </si>
  <si>
    <t>Glen Eira</t>
  </si>
  <si>
    <t>Greater Dandenong</t>
  </si>
  <si>
    <t>Kingston</t>
  </si>
  <si>
    <t>Latrobe</t>
  </si>
  <si>
    <t>Mornington Peninsula</t>
  </si>
  <si>
    <t>Port Phillip</t>
  </si>
  <si>
    <t>South Gippsland</t>
  </si>
  <si>
    <t>Stonnington</t>
  </si>
  <si>
    <t>SWV</t>
  </si>
  <si>
    <t>Ararat</t>
  </si>
  <si>
    <t>Ballarat</t>
  </si>
  <si>
    <t>Brimbank</t>
  </si>
  <si>
    <t>Colac-Otway</t>
  </si>
  <si>
    <t>Corangamite</t>
  </si>
  <si>
    <t>Glenelg</t>
  </si>
  <si>
    <t>Golden Plains</t>
  </si>
  <si>
    <t>Greater Geelong</t>
  </si>
  <si>
    <t>Hepburn</t>
  </si>
  <si>
    <t>Hindmarsh</t>
  </si>
  <si>
    <t>Hobsons Bay</t>
  </si>
  <si>
    <t>Horsham</t>
  </si>
  <si>
    <t>Maribyrnong</t>
  </si>
  <si>
    <t>Melbourne</t>
  </si>
  <si>
    <t>Melton</t>
  </si>
  <si>
    <t>Moonee Valley</t>
  </si>
  <si>
    <t>Moorabool</t>
  </si>
  <si>
    <t>Moyne</t>
  </si>
  <si>
    <t>Northern Grampians</t>
  </si>
  <si>
    <t>Pyrenees</t>
  </si>
  <si>
    <t>Queenscliffe</t>
  </si>
  <si>
    <t>Southern Grampians</t>
  </si>
  <si>
    <t>Surf Coast</t>
  </si>
  <si>
    <t>Warrnambool</t>
  </si>
  <si>
    <t>West Wimmera</t>
  </si>
  <si>
    <t>Wyndham</t>
  </si>
  <si>
    <t>Yarriambiack</t>
  </si>
  <si>
    <t>Universal</t>
  </si>
  <si>
    <t>MCH Coordination</t>
  </si>
  <si>
    <t>Enhanced MCH Service</t>
  </si>
  <si>
    <t>MCH Nurse</t>
  </si>
  <si>
    <t>Non MCH Nurse</t>
  </si>
  <si>
    <t>Under 45 Years</t>
  </si>
  <si>
    <t>45-50 Years</t>
  </si>
  <si>
    <t>51-55 Years</t>
  </si>
  <si>
    <t>56-60 Years</t>
  </si>
  <si>
    <t>Over 60 Years</t>
  </si>
  <si>
    <t>Age</t>
  </si>
  <si>
    <t>Graduate Certificate</t>
  </si>
  <si>
    <t>50 to 59</t>
  </si>
  <si>
    <t>Doctorate by Research</t>
  </si>
  <si>
    <t>30 to 39</t>
  </si>
  <si>
    <t>Grad.(Post) Dip. - ext area</t>
  </si>
  <si>
    <t>40 to 49</t>
  </si>
  <si>
    <t>Master's by Research</t>
  </si>
  <si>
    <t>Master's by Coursework</t>
  </si>
  <si>
    <t>20 to 29</t>
  </si>
  <si>
    <t>60 and over</t>
  </si>
  <si>
    <t>FTE Years</t>
  </si>
  <si>
    <t>MCH?</t>
  </si>
  <si>
    <t>No</t>
  </si>
  <si>
    <t>Yes</t>
  </si>
  <si>
    <t>TOTAL</t>
  </si>
  <si>
    <t>Workforce FTEs</t>
  </si>
  <si>
    <t>Alpine (S)</t>
  </si>
  <si>
    <t>Benalla (RC)</t>
  </si>
  <si>
    <t>Boroondara (C)</t>
  </si>
  <si>
    <t>Greater Shepparton (C)</t>
  </si>
  <si>
    <t>Indigo (S)</t>
  </si>
  <si>
    <t>Knox (C)</t>
  </si>
  <si>
    <t>Manningham (C)</t>
  </si>
  <si>
    <t>Mansfield (S)</t>
  </si>
  <si>
    <t>Maroondah (C)</t>
  </si>
  <si>
    <t>Mitchell (S)</t>
  </si>
  <si>
    <t>Moira (S)</t>
  </si>
  <si>
    <t>Monash (C)</t>
  </si>
  <si>
    <t>Murrindindi (S)</t>
  </si>
  <si>
    <t>Strathbogie (S)</t>
  </si>
  <si>
    <t>Towong (S)</t>
  </si>
  <si>
    <t>Wangaratta (RC)</t>
  </si>
  <si>
    <t>Whitehorse (C)</t>
  </si>
  <si>
    <t>Wodonga (RC)</t>
  </si>
  <si>
    <t>Yarra Ranges (S)</t>
  </si>
  <si>
    <t>Banyule (C)</t>
  </si>
  <si>
    <t>Buloke (S)</t>
  </si>
  <si>
    <t>Campaspe (S)</t>
  </si>
  <si>
    <t>Central Goldfields (S)</t>
  </si>
  <si>
    <t>Darebin (C)</t>
  </si>
  <si>
    <t>Gannawarra (S)</t>
  </si>
  <si>
    <t>Greater Bendigo (C)</t>
  </si>
  <si>
    <t>Hume (C)</t>
  </si>
  <si>
    <t>Loddon (S)</t>
  </si>
  <si>
    <t>Macedon Ranges (S)</t>
  </si>
  <si>
    <t>Mildura (RC)</t>
  </si>
  <si>
    <t>Moreland (C)</t>
  </si>
  <si>
    <t>Mount Alexander (S)</t>
  </si>
  <si>
    <t>Nillumbik (S)</t>
  </si>
  <si>
    <t>Swan Hill (RC)</t>
  </si>
  <si>
    <t>Whittlesea (C)</t>
  </si>
  <si>
    <t>Yarra (C)</t>
  </si>
  <si>
    <t>Bass Coast (S)</t>
  </si>
  <si>
    <t>Baw Baw (S)</t>
  </si>
  <si>
    <t>Bayside (C)</t>
  </si>
  <si>
    <t>Cardinia (S)</t>
  </si>
  <si>
    <t>Casey (C)</t>
  </si>
  <si>
    <t>East Gippsland (S)</t>
  </si>
  <si>
    <t>Frankston (C)</t>
  </si>
  <si>
    <t>Glen Eira (C)</t>
  </si>
  <si>
    <t>Greater Dandenong (C)</t>
  </si>
  <si>
    <t>Kingston (C)</t>
  </si>
  <si>
    <t>Latrobe (C)</t>
  </si>
  <si>
    <t>Mornington Peninsula (S)</t>
  </si>
  <si>
    <t>Port Phillip (C)</t>
  </si>
  <si>
    <t>South Gippsland (S)</t>
  </si>
  <si>
    <t>Stonnington (C)</t>
  </si>
  <si>
    <t>Wellington (S)</t>
  </si>
  <si>
    <t>Ararat (RC)</t>
  </si>
  <si>
    <t>Ballarat (C)</t>
  </si>
  <si>
    <t>Brimbank (C)</t>
  </si>
  <si>
    <t>Colac-Otway (S)</t>
  </si>
  <si>
    <t>Corangamite (S)</t>
  </si>
  <si>
    <t>Glenelg (S)</t>
  </si>
  <si>
    <t>Golden Plains (S)</t>
  </si>
  <si>
    <t>Greater Geelong (C)</t>
  </si>
  <si>
    <t>Hepburn (S)</t>
  </si>
  <si>
    <t>Hindmarsh (S)</t>
  </si>
  <si>
    <t>Hobsons Bay (C)</t>
  </si>
  <si>
    <t>Horsham (RC)</t>
  </si>
  <si>
    <t>Maribyrnong (C)</t>
  </si>
  <si>
    <t>Melbourne (C)</t>
  </si>
  <si>
    <t>Melton (C)</t>
  </si>
  <si>
    <t>Moonee Valley (C)</t>
  </si>
  <si>
    <t>Moorabool (S)</t>
  </si>
  <si>
    <t>Moyne (S)</t>
  </si>
  <si>
    <t>Northern Grampians (S)</t>
  </si>
  <si>
    <t>Pyrenees (S)</t>
  </si>
  <si>
    <t>Queenscliffe (B)</t>
  </si>
  <si>
    <t>Southern Grampians (S)</t>
  </si>
  <si>
    <t>Surf Coast (S)</t>
  </si>
  <si>
    <t>Warrnambool (C)</t>
  </si>
  <si>
    <t>West Wimmera (S)</t>
  </si>
  <si>
    <t>Wyndham (C)</t>
  </si>
  <si>
    <t>Yarriambiack (S)</t>
  </si>
  <si>
    <t>Births</t>
  </si>
  <si>
    <t/>
  </si>
  <si>
    <t>Year</t>
  </si>
  <si>
    <t>2015-16</t>
  </si>
  <si>
    <t>MCH Type</t>
  </si>
  <si>
    <t>Universal MCH</t>
  </si>
  <si>
    <t>Enhanced non-MCH</t>
  </si>
  <si>
    <t>Enhanced MCH</t>
  </si>
  <si>
    <t>Nurse Type</t>
  </si>
  <si>
    <t>Age Group</t>
  </si>
  <si>
    <t>Age Group 2</t>
  </si>
  <si>
    <t>2016-17</t>
  </si>
  <si>
    <t>2017-18</t>
  </si>
  <si>
    <t>Workforce supply</t>
  </si>
  <si>
    <t>Age 0 - 1 (Drawer 1)</t>
  </si>
  <si>
    <t>Age 1 - 2 (Drawer 2)</t>
  </si>
  <si>
    <t>Age 2 - 3 (Drawer 3)</t>
  </si>
  <si>
    <t>Age 3 - 4 (Drawer 4)</t>
  </si>
  <si>
    <t>Age 4 - 5 (Drawer 5)</t>
  </si>
  <si>
    <t>Age 5 - 6 (Drawer 6)</t>
  </si>
  <si>
    <t>Age 0 - 6</t>
  </si>
  <si>
    <t>Age 0 - 1</t>
  </si>
  <si>
    <t>Age 1 - 2</t>
  </si>
  <si>
    <t>Age 2 - 3</t>
  </si>
  <si>
    <t>Age 3 - 4</t>
  </si>
  <si>
    <t>Age 4 - 5</t>
  </si>
  <si>
    <t>Age 5 - 6</t>
  </si>
  <si>
    <t>East Gippsland</t>
  </si>
  <si>
    <t>Wellington</t>
  </si>
  <si>
    <t>FTB-A families</t>
  </si>
  <si>
    <t>Census 2016</t>
  </si>
  <si>
    <t>Rural</t>
  </si>
  <si>
    <t>Metro</t>
  </si>
  <si>
    <t>Rurality</t>
  </si>
  <si>
    <t>Interface</t>
  </si>
  <si>
    <t>Rurality 2</t>
  </si>
  <si>
    <t>Kingston (C) (Vic.)</t>
  </si>
  <si>
    <t>Latrobe (C) (Vic.)</t>
  </si>
  <si>
    <t>Wodonga (C)</t>
  </si>
  <si>
    <t>30-39 Years</t>
  </si>
  <si>
    <t>40-49 Years</t>
  </si>
  <si>
    <t>25-29 Years</t>
  </si>
  <si>
    <t>20-24 Years</t>
  </si>
  <si>
    <t>50-59 Years</t>
  </si>
  <si>
    <t>LGA2</t>
  </si>
  <si>
    <r>
      <t xml:space="preserve">Gap (Supply </t>
    </r>
    <r>
      <rPr>
        <b/>
        <i/>
        <sz val="11"/>
        <color theme="1"/>
        <rFont val="Arial Narrow"/>
        <family val="2"/>
        <scheme val="minor"/>
      </rPr>
      <t xml:space="preserve">less </t>
    </r>
    <r>
      <rPr>
        <b/>
        <sz val="11"/>
        <color theme="1"/>
        <rFont val="Arial Narrow"/>
        <family val="2"/>
        <scheme val="minor"/>
      </rPr>
      <t>Demnd)</t>
    </r>
  </si>
  <si>
    <t>Workforce demand</t>
  </si>
  <si>
    <t>Nurse type</t>
  </si>
  <si>
    <t>MCH Service</t>
  </si>
  <si>
    <t>Statewide</t>
  </si>
  <si>
    <t>Under 45 years</t>
  </si>
  <si>
    <t>45-50 years</t>
  </si>
  <si>
    <t>51-55 years</t>
  </si>
  <si>
    <t>56-60 years</t>
  </si>
  <si>
    <t>Over 60 years</t>
  </si>
  <si>
    <t>Enhanced MCH service</t>
  </si>
  <si>
    <t>council</t>
  </si>
  <si>
    <t>Corrected council</t>
  </si>
  <si>
    <t>Number of neighbours</t>
  </si>
  <si>
    <t>BACKGROUND</t>
  </si>
  <si>
    <t>Please make adjustments to ORANGE cells ONLY</t>
  </si>
  <si>
    <t>Min</t>
  </si>
  <si>
    <t>Supply</t>
  </si>
  <si>
    <t>Demand</t>
  </si>
  <si>
    <t>Gap</t>
  </si>
  <si>
    <t>Term</t>
  </si>
  <si>
    <t>Definition</t>
  </si>
  <si>
    <t>Table A.1 Glossary of terms</t>
  </si>
  <si>
    <t>APPENDIX</t>
  </si>
  <si>
    <t>Table A.2 Data sources</t>
  </si>
  <si>
    <t>Source</t>
  </si>
  <si>
    <t>Universal MCH nurse</t>
  </si>
  <si>
    <t>MCH coordination nurse</t>
  </si>
  <si>
    <t>MCH coordination non MCH nurse</t>
  </si>
  <si>
    <t>Nurse types</t>
  </si>
  <si>
    <t>Nurses qualified in MCH who facilitate the MCH service</t>
  </si>
  <si>
    <t>A group of 10 councils that form a ring around metropolitan Melbourne. Council include: Cardinia, Casey, Hume, Melton, Mitchell, Mornington Peninsula, Nillumbik, Whittlesea, Wyndham and Yarra Ranges.</t>
  </si>
  <si>
    <t>Major cities, inner regional and outer regional councils, as defined using the Accessibility and Remoteness Index of Australia (ARIA)</t>
  </si>
  <si>
    <t>Remote and very remote councils, as defined using the Accessibility and Remoteness Index of Australia (ARIA)</t>
  </si>
  <si>
    <t>Universal MCH enrolments</t>
  </si>
  <si>
    <t>DHHS</t>
  </si>
  <si>
    <t>ABS</t>
  </si>
  <si>
    <t>Historical estimated resident population</t>
  </si>
  <si>
    <t>Projections of estimated resident population</t>
  </si>
  <si>
    <t>Victoria in Future 2016</t>
  </si>
  <si>
    <t>Nurse workforce qualifications</t>
  </si>
  <si>
    <t>Workforce headcount</t>
  </si>
  <si>
    <t>Workforce age profile</t>
  </si>
  <si>
    <t>Years of data used</t>
  </si>
  <si>
    <t xml:space="preserve">Child age distribution </t>
  </si>
  <si>
    <t>MCH enrolments</t>
  </si>
  <si>
    <t>Workforce characteristics</t>
  </si>
  <si>
    <t>2017-18 to 2031-32</t>
  </si>
  <si>
    <t>INSTRUCTIONS</t>
  </si>
  <si>
    <t>Model baseline year:</t>
  </si>
  <si>
    <t>Projection period:</t>
  </si>
  <si>
    <t>to</t>
  </si>
  <si>
    <t>1. OVERVIEW OF THE MODEL</t>
  </si>
  <si>
    <t>Source: DHHS</t>
  </si>
  <si>
    <t>Source: ACIL Allen</t>
  </si>
  <si>
    <t>This section summarises the model outputs. All outputs are based on ACIL Allen analysis of the model inputs from section 2.</t>
  </si>
  <si>
    <t>C. OTHER MODEL FEATURES</t>
  </si>
  <si>
    <t>Section 1</t>
  </si>
  <si>
    <t>Section 2</t>
  </si>
  <si>
    <t>Section 3</t>
  </si>
  <si>
    <t>Appendix</t>
  </si>
  <si>
    <t>Council remoteness</t>
  </si>
  <si>
    <t>Model outputs - summarises and presents charts on the supply, demand, and workforce gap outputs of the model.</t>
  </si>
  <si>
    <t>Glossary of terms and list of data sources.</t>
  </si>
  <si>
    <t xml:space="preserve">The report arises from the MCH nurse workforce model (the model). The model includes provided policy parameters for service provision, such as the progressive expansion of the Enhanced MCH (EMCH) service over time. The parameters and assumptions used for the modelling are described as part of this report. Model inputs can be adjusted to provide specific workforce projections for the council. Changing any of the model inputs will automatically update the input and output charts that are produced here. </t>
  </si>
  <si>
    <t>(A) As reported by DHHS</t>
  </si>
  <si>
    <t>0-1 years</t>
  </si>
  <si>
    <t>1-2 years</t>
  </si>
  <si>
    <t>2-3 years</t>
  </si>
  <si>
    <t>3-4 years</t>
  </si>
  <si>
    <t>4-5 years</t>
  </si>
  <si>
    <t>5-6 years</t>
  </si>
  <si>
    <t>Hidden base</t>
  </si>
  <si>
    <t>Section 4</t>
  </si>
  <si>
    <t>C. TABLES OF OUTPUTS</t>
  </si>
  <si>
    <t>The MCH workforce supply and demand model was developed by ACIL Allen in 2016 as part of a project commissioned by the Department of Education and Training (DET) to provide an overview of MCH nurse workforce demand and supply, and to provide advice on future policy and planning. In January 2019, ACIL Allen updated the original model to reflect current workforce and population conditions. This update also involved developing a tool to present the inputs and outputs of the model in a standard reporting template.</t>
  </si>
  <si>
    <t>Workforce supply inputs (adjustable) - summarises and presents the supply inputs and associated charts. Inputs can be adjusted by councils.</t>
  </si>
  <si>
    <t>Workforce demand inputs (adjustable) - summarises and presents the demand inputs and associated charts. Inputs can be adjusted by councils.</t>
  </si>
  <si>
    <t>Enter FTEs expectation:</t>
  </si>
  <si>
    <t>Completion of MCH nurse qualifications</t>
  </si>
  <si>
    <t>OUTPUT CHARTS</t>
  </si>
  <si>
    <t>INDIVIDUAL GAP CHARTS</t>
  </si>
  <si>
    <t>Neighbour?</t>
  </si>
  <si>
    <t>MATCH VALUE</t>
  </si>
  <si>
    <t>NEIGHBOURS</t>
  </si>
  <si>
    <t>Match</t>
  </si>
  <si>
    <t>NEIGHBOUR</t>
  </si>
  <si>
    <t>COUNCIL</t>
  </si>
  <si>
    <t>STOP</t>
  </si>
  <si>
    <t>User specific</t>
  </si>
  <si>
    <t>Headcount of nurses</t>
  </si>
  <si>
    <t>Council age profile</t>
  </si>
  <si>
    <t>Choose age profile for use in model:</t>
  </si>
  <si>
    <t>Council (DHHS)</t>
  </si>
  <si>
    <t>Figure 4.2 Child population projections</t>
  </si>
  <si>
    <t>v1.0</t>
  </si>
  <si>
    <t>Child population projections</t>
  </si>
  <si>
    <t>Workforce by age (MCH and non MCH nurses)</t>
  </si>
  <si>
    <t>By age categories from DHHS</t>
  </si>
  <si>
    <t>By MCH service type, MCH and non MCH nurse from DHHS</t>
  </si>
  <si>
    <t>2018-19</t>
  </si>
  <si>
    <t>2019-20</t>
  </si>
  <si>
    <t>2020-21</t>
  </si>
  <si>
    <t>2031-32</t>
  </si>
  <si>
    <t>User specific age profile</t>
  </si>
  <si>
    <t>Workforce age distribution</t>
  </si>
  <si>
    <t>Selected age distribution:</t>
  </si>
  <si>
    <t>Model default</t>
  </si>
  <si>
    <t>Uplift factor</t>
  </si>
  <si>
    <t>Total FTEs</t>
  </si>
  <si>
    <t>Total MCH Nurses</t>
  </si>
  <si>
    <t>Total non MCH nurses</t>
  </si>
  <si>
    <t>TOTAL SUPPLY OF NURSES</t>
  </si>
  <si>
    <t>Annual %</t>
  </si>
  <si>
    <t>Distribute baseline nurse FTEs by age</t>
  </si>
  <si>
    <t>Maternal and Child Health (MCH) council workforce tool</t>
  </si>
  <si>
    <t>PLEASE SELECT YOUR COUNCIL:</t>
  </si>
  <si>
    <t>GO TO WORKFORCE REPORT</t>
  </si>
  <si>
    <t>ACIL Allen Consulting</t>
  </si>
  <si>
    <t>2009-10</t>
  </si>
  <si>
    <t>2010-11</t>
  </si>
  <si>
    <t>2011-12</t>
  </si>
  <si>
    <t>2012-13</t>
  </si>
  <si>
    <t>2013-14</t>
  </si>
  <si>
    <t>2014-15</t>
  </si>
  <si>
    <t>2021-22</t>
  </si>
  <si>
    <t>2022-23</t>
  </si>
  <si>
    <t>2023-24</t>
  </si>
  <si>
    <t>2024-25</t>
  </si>
  <si>
    <t>2025-26</t>
  </si>
  <si>
    <t>2026-27</t>
  </si>
  <si>
    <t>2027-28</t>
  </si>
  <si>
    <t>2028-29</t>
  </si>
  <si>
    <t>2029-30</t>
  </si>
  <si>
    <t>2030-31</t>
  </si>
  <si>
    <t>In use</t>
  </si>
  <si>
    <t>Author: Charlie Mei</t>
  </si>
  <si>
    <t>Latest three years of data</t>
  </si>
  <si>
    <t>Model default setting:</t>
  </si>
  <si>
    <t>UniversalMCH Nurse</t>
  </si>
  <si>
    <t>Enhanced MCH ServiceMCH Nurse</t>
  </si>
  <si>
    <t>Enhanced MCH ServiceNon MCH Nurse</t>
  </si>
  <si>
    <t>Supply model default setting</t>
  </si>
  <si>
    <t>User specified supply</t>
  </si>
  <si>
    <t>Statewide age profile (DEFAULT)</t>
  </si>
  <si>
    <t>SUPPLY PROJECTIONS TO USE IN MODEL</t>
  </si>
  <si>
    <t>CHOICE SELECTED BY USER</t>
  </si>
  <si>
    <t>Based on user selection</t>
  </si>
  <si>
    <t>Supply based on user selected age profile</t>
  </si>
  <si>
    <t>Note: leave blank to use values based on user selection.</t>
  </si>
  <si>
    <t>Universal MCH / Enhanced MCH</t>
  </si>
  <si>
    <t>A</t>
  </si>
  <si>
    <t>B</t>
  </si>
  <si>
    <t>Universal Enrolments / Population</t>
  </si>
  <si>
    <t>Universal workforce / Universal Enrolments</t>
  </si>
  <si>
    <t>Enhanced workforce / Universal Enrolments</t>
  </si>
  <si>
    <t>FTB-A families / Births</t>
  </si>
  <si>
    <t>Non-MCH workforce / FTB-A families</t>
  </si>
  <si>
    <t>Universal Enrolments</t>
  </si>
  <si>
    <t>Population</t>
  </si>
  <si>
    <t>Staff EFTs</t>
  </si>
  <si>
    <t>Universal service enrolments</t>
  </si>
  <si>
    <t>Eligible FTB-A families</t>
  </si>
  <si>
    <t>Universal service enrolments (by age) from DHHS</t>
  </si>
  <si>
    <t>FTB-A families by council from DHHS (uses number of FTB-A families from previous year)</t>
  </si>
  <si>
    <t>Enhanced MCH nurses</t>
  </si>
  <si>
    <t>MCH Nurse coordination</t>
  </si>
  <si>
    <t>non MCH Nurse coordination</t>
  </si>
  <si>
    <t>Demand requirements based on user inputs</t>
  </si>
  <si>
    <t>CHILD POPULATION</t>
  </si>
  <si>
    <t>RATIOS</t>
  </si>
  <si>
    <t>Supply requirements based on user inputs</t>
  </si>
  <si>
    <t>EMCH LOADING</t>
  </si>
  <si>
    <t>Enhanced non MCH nurses</t>
  </si>
  <si>
    <t>TOTAL DEMAND REQUIREMENT</t>
  </si>
  <si>
    <t>Difference</t>
  </si>
  <si>
    <t>Default gap</t>
  </si>
  <si>
    <t>Birth uplift</t>
  </si>
  <si>
    <t>STOCK OF SUPPLY</t>
  </si>
  <si>
    <t>FINAL OUTPUTS</t>
  </si>
  <si>
    <t>LOADINGS</t>
  </si>
  <si>
    <t>SUPPLY</t>
  </si>
  <si>
    <t>DEMAND</t>
  </si>
  <si>
    <t>GAP</t>
  </si>
  <si>
    <t>non MCH nurse FTEs</t>
  </si>
  <si>
    <t>% non MCH nurses</t>
  </si>
  <si>
    <t>TOTAL HEADCOUNT</t>
  </si>
  <si>
    <t>non MCH headcount</t>
  </si>
  <si>
    <t>MODEL DEFAULT DEMAND</t>
  </si>
  <si>
    <t>New supply of graduates distributed by age</t>
  </si>
  <si>
    <t>BASELINE YEAR:</t>
  </si>
  <si>
    <t>STRUCTURE OF THE REPORT</t>
  </si>
  <si>
    <t>Based on the information above, please choose an option to age the workforce:</t>
  </si>
  <si>
    <t>(B) Council corrections</t>
  </si>
  <si>
    <t>(C) FTEs with council corrections</t>
  </si>
  <si>
    <t>OPTION:</t>
  </si>
  <si>
    <t>Overview of the model - outlines the workforce model demand and supply components and features.</t>
  </si>
  <si>
    <t>A. WORKFORCE DEMAND</t>
  </si>
  <si>
    <t>B. WORKFORCE SUPPLY</t>
  </si>
  <si>
    <t>2. DEMAND INPUTS (ADJUSTABLE)</t>
  </si>
  <si>
    <t>A. ADJUST YOUR WORKFORCE FTEs</t>
  </si>
  <si>
    <t>INSTRUCTIONS: If any of the above are incorrect, please enter your corrections below.</t>
  </si>
  <si>
    <t>Admin / Business Support</t>
  </si>
  <si>
    <t>B. ADJUST ANTICIPATED BIRTHS</t>
  </si>
  <si>
    <t>A. ADJUST WORKFORCE AGE PROFILE</t>
  </si>
  <si>
    <t>This section summarises the demand inputs of the model. All inputs are as provided by DHHS and can be adjusted by council. 
Please see Appendix Table A.1 for definitions and Table A.2 for full list of data sources.</t>
  </si>
  <si>
    <t>Age group</t>
  </si>
  <si>
    <t>Figure 2.1 Distribution of headcount of MCH nurses, statewide and by council</t>
  </si>
  <si>
    <t>B. ADJUST YOUR ANTICIPATED FTE SUPPLY</t>
  </si>
  <si>
    <t>Enter council birth projections:</t>
  </si>
  <si>
    <t>Neighbouring councils:</t>
  </si>
  <si>
    <t>Select any council:</t>
  </si>
  <si>
    <t>B. OUTPUTS FOR SELECT COUNCILS</t>
  </si>
  <si>
    <t>Figure 4.4 Projected workforce gap for select councils</t>
  </si>
  <si>
    <t>Description of the Options</t>
  </si>
  <si>
    <t>Note: * nurse workforce based on headcount of MCH nurses only.</t>
  </si>
  <si>
    <t>Figure 4.1 Projected workforce demand by MCH service type</t>
  </si>
  <si>
    <t>Table 4.2 Summary of overall projected MCH workforce requirements in select councils</t>
  </si>
  <si>
    <r>
      <t xml:space="preserve">Insights to MCH workforce supply and demand can inform workforce planning for service change and sustainability. The Victorian Government has funded a number of workforce attraction and development initiatives to ensure the MCH workforce has the capacity to respond to the needs of a growing and changing Victorian population. These initiatives are likely to have the greatest impact when they are informed and coupled with workforce data. As indicated in the VAGO </t>
    </r>
    <r>
      <rPr>
        <i/>
        <sz val="11"/>
        <color theme="1"/>
        <rFont val="Arial Narrow"/>
        <family val="2"/>
        <scheme val="minor"/>
      </rPr>
      <t>Effectively Planning for Growth</t>
    </r>
    <r>
      <rPr>
        <sz val="11"/>
        <color theme="1"/>
        <rFont val="Arial Narrow"/>
        <family val="2"/>
        <scheme val="minor"/>
      </rPr>
      <t xml:space="preserve"> audit, it is important for the department and local councils to work closely in understanding MCH workforce needs. On 1 January 2019, the department responsible for MCH moved from DET to the Department of Health and Human Services (DHHS).</t>
    </r>
  </si>
  <si>
    <r>
      <t xml:space="preserve">There are two components of the model: </t>
    </r>
    <r>
      <rPr>
        <b/>
        <sz val="11"/>
        <rFont val="Arial Narrow"/>
        <family val="2"/>
        <scheme val="minor"/>
      </rPr>
      <t xml:space="preserve">workforce demand </t>
    </r>
    <r>
      <rPr>
        <sz val="11"/>
        <rFont val="Arial Narrow"/>
        <family val="2"/>
        <scheme val="minor"/>
      </rPr>
      <t>and</t>
    </r>
    <r>
      <rPr>
        <b/>
        <sz val="11"/>
        <rFont val="Arial Narrow"/>
        <family val="2"/>
        <scheme val="minor"/>
      </rPr>
      <t xml:space="preserve"> workforce supply.</t>
    </r>
  </si>
  <si>
    <t>MCH coordination</t>
  </si>
  <si>
    <t>Note: leave blank to use original model.</t>
  </si>
  <si>
    <t>Source: Victoria in Future 2016</t>
  </si>
  <si>
    <t>This section summarises the supply inputs of the model. All inputs are as provided by DHHS and can be adjusted by council. 
Please see Appendix Table A.2 for a full list of data sources.</t>
  </si>
  <si>
    <t>Statewide data</t>
  </si>
  <si>
    <t>Council (DHHS data)</t>
  </si>
  <si>
    <t>User specific data</t>
  </si>
  <si>
    <t>Current FTEs:</t>
  </si>
  <si>
    <t>Enhanced MCH nurse</t>
  </si>
  <si>
    <t>Enhanced MCH non MCH nurse</t>
  </si>
  <si>
    <t>Nurses qualified in MCH who provide the Universal MCH service</t>
  </si>
  <si>
    <t>Nurses qualified in MCH who provide the Enhanced MCH service</t>
  </si>
  <si>
    <t>Qualified practitioners who facilitate the MCH service</t>
  </si>
  <si>
    <t>Qualified practitioners (e.g. cultural support workers, early parenting and support practitioners, allied health practitioners) who support the delivery of the enhanced MCH service</t>
  </si>
  <si>
    <t>Administrative staff not qualified in MCH who support the operation of the MCH service (e.g. reception, appointment bookings etc.)</t>
  </si>
  <si>
    <t>RMIT University, La Trobe University</t>
  </si>
  <si>
    <t>(based on user selection from 3A)</t>
  </si>
  <si>
    <t>3. SUPPLY INPUTS (ADJUSTABLE)</t>
  </si>
  <si>
    <t>Your selected councils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</si>
</sst>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00"/>
    <numFmt numFmtId="166" formatCode="0.0000"/>
    <numFmt numFmtId="167" formatCode="0.00000"/>
  </numFmts>
  <fonts count="51" x14ac:knownFonts="1">
    <font>
      <sz val="11"/>
      <color theme="1"/>
      <name val="Arial Narrow"/>
      <family val="2"/>
      <scheme val="minor"/>
    </font>
    <font>
      <sz val="11"/>
      <color theme="1"/>
      <name val="Arial Narrow"/>
      <family val="2"/>
      <scheme val="minor"/>
    </font>
    <font>
      <b/>
      <sz val="15"/>
      <color theme="3"/>
      <name val="Arial Narrow"/>
      <family val="2"/>
      <scheme val="minor"/>
    </font>
    <font>
      <i/>
      <sz val="11"/>
      <color rgb="FF7F7F7F"/>
      <name val="Arial Narrow"/>
      <family val="2"/>
      <scheme val="minor"/>
    </font>
    <font>
      <sz val="10"/>
      <color theme="1"/>
      <name val="Arial Narrow"/>
      <family val="2"/>
    </font>
    <font>
      <sz val="11"/>
      <color rgb="FF3F3F76"/>
      <name val="Arial Narrow"/>
      <family val="2"/>
      <scheme val="minor"/>
    </font>
    <font>
      <b/>
      <sz val="11"/>
      <color rgb="FFFA7D00"/>
      <name val="Arial Narrow"/>
      <family val="2"/>
      <scheme val="minor"/>
    </font>
    <font>
      <b/>
      <sz val="11"/>
      <color theme="1"/>
      <name val="Arial Narrow"/>
      <family val="2"/>
      <scheme val="minor"/>
    </font>
    <font>
      <b/>
      <sz val="11"/>
      <color rgb="FF3F3F3F"/>
      <name val="Arial Narrow"/>
      <family val="2"/>
      <scheme val="minor"/>
    </font>
    <font>
      <b/>
      <sz val="11"/>
      <color theme="0"/>
      <name val="Arial Narrow"/>
      <family val="2"/>
      <scheme val="minor"/>
    </font>
    <font>
      <sz val="11"/>
      <color theme="0"/>
      <name val="Arial Narrow"/>
      <family val="2"/>
      <scheme val="minor"/>
    </font>
    <font>
      <sz val="9"/>
      <color theme="1"/>
      <name val="Arial Narrow"/>
      <family val="2"/>
    </font>
    <font>
      <b/>
      <sz val="9"/>
      <color theme="1"/>
      <name val="Arial Narrow"/>
      <family val="2"/>
    </font>
    <font>
      <sz val="11"/>
      <color rgb="FF006100"/>
      <name val="Arial Narrow"/>
      <family val="2"/>
      <scheme val="minor"/>
    </font>
    <font>
      <b/>
      <sz val="10"/>
      <name val="Arial"/>
      <family val="2"/>
    </font>
    <font>
      <sz val="10"/>
      <name val="Arial"/>
      <family val="2"/>
    </font>
    <font>
      <i/>
      <sz val="11"/>
      <color theme="1"/>
      <name val="Arial Narrow"/>
      <family val="2"/>
      <scheme val="minor"/>
    </font>
    <font>
      <sz val="10"/>
      <name val="Arial"/>
      <family val="2"/>
    </font>
    <font>
      <b/>
      <sz val="14"/>
      <name val="Arial"/>
      <family val="2"/>
    </font>
    <font>
      <sz val="18"/>
      <color theme="3"/>
      <name val="Arial Narrow"/>
      <family val="2"/>
      <scheme val="major"/>
    </font>
    <font>
      <b/>
      <sz val="13"/>
      <color theme="3"/>
      <name val="Arial Narrow"/>
      <family val="2"/>
      <scheme val="minor"/>
    </font>
    <font>
      <b/>
      <sz val="11"/>
      <color theme="3"/>
      <name val="Arial Narrow"/>
      <family val="2"/>
      <scheme val="minor"/>
    </font>
    <font>
      <sz val="11"/>
      <color rgb="FF9C0006"/>
      <name val="Arial Narrow"/>
      <family val="2"/>
      <scheme val="minor"/>
    </font>
    <font>
      <sz val="11"/>
      <color rgb="FF9C5700"/>
      <name val="Arial Narrow"/>
      <family val="2"/>
      <scheme val="minor"/>
    </font>
    <font>
      <sz val="11"/>
      <color rgb="FFFA7D00"/>
      <name val="Arial Narrow"/>
      <family val="2"/>
      <scheme val="minor"/>
    </font>
    <font>
      <sz val="11"/>
      <color rgb="FFFF0000"/>
      <name val="Arial Narrow"/>
      <family val="2"/>
      <scheme val="minor"/>
    </font>
    <font>
      <b/>
      <i/>
      <sz val="11"/>
      <color theme="1"/>
      <name val="Arial Narrow"/>
      <family val="2"/>
      <scheme val="minor"/>
    </font>
    <font>
      <i/>
      <sz val="11"/>
      <name val="Arial Narrow"/>
      <family val="2"/>
      <scheme val="minor"/>
    </font>
    <font>
      <sz val="11"/>
      <name val="Arial Narrow"/>
      <family val="2"/>
      <scheme val="minor"/>
    </font>
    <font>
      <b/>
      <sz val="40"/>
      <color theme="3"/>
      <name val="Arial Narrow"/>
      <family val="2"/>
      <scheme val="minor"/>
    </font>
    <font>
      <i/>
      <sz val="11"/>
      <color theme="0"/>
      <name val="Arial Narrow"/>
      <family val="2"/>
      <scheme val="minor"/>
    </font>
    <font>
      <sz val="9"/>
      <color theme="1"/>
      <name val="Arial Narrow"/>
      <family val="2"/>
      <scheme val="minor"/>
    </font>
    <font>
      <b/>
      <sz val="14"/>
      <color theme="1"/>
      <name val="Arial Narrow"/>
      <family val="2"/>
      <scheme val="minor"/>
    </font>
    <font>
      <b/>
      <sz val="18"/>
      <color theme="3"/>
      <name val="Arial Narrow"/>
      <family val="2"/>
      <scheme val="minor"/>
    </font>
    <font>
      <b/>
      <sz val="18"/>
      <color theme="1"/>
      <name val="Arial Narrow"/>
      <family val="2"/>
      <scheme val="minor"/>
    </font>
    <font>
      <b/>
      <sz val="16"/>
      <color theme="5"/>
      <name val="Arial Narrow"/>
      <family val="2"/>
      <scheme val="minor"/>
    </font>
    <font>
      <b/>
      <sz val="14"/>
      <color theme="6"/>
      <name val="Arial Narrow"/>
      <family val="2"/>
      <scheme val="minor"/>
    </font>
    <font>
      <b/>
      <sz val="11"/>
      <color theme="7"/>
      <name val="Arial Narrow"/>
      <family val="2"/>
      <scheme val="minor"/>
    </font>
    <font>
      <b/>
      <sz val="16"/>
      <color theme="6"/>
      <name val="Arial Narrow"/>
      <family val="2"/>
      <scheme val="minor"/>
    </font>
    <font>
      <b/>
      <sz val="36"/>
      <color theme="3"/>
      <name val="Arial Narrow"/>
      <family val="2"/>
      <scheme val="minor"/>
    </font>
    <font>
      <b/>
      <i/>
      <sz val="36"/>
      <color theme="3"/>
      <name val="Arial Narrow"/>
      <family val="2"/>
      <scheme val="minor"/>
    </font>
    <font>
      <b/>
      <i/>
      <sz val="11"/>
      <color theme="0"/>
      <name val="Arial Narrow"/>
      <family val="2"/>
      <scheme val="minor"/>
    </font>
    <font>
      <u/>
      <sz val="11"/>
      <color theme="10"/>
      <name val="Arial Narrow"/>
      <family val="2"/>
      <scheme val="minor"/>
    </font>
    <font>
      <b/>
      <sz val="16"/>
      <color theme="1"/>
      <name val="Arial Narrow"/>
      <family val="2"/>
      <scheme val="minor"/>
    </font>
    <font>
      <b/>
      <sz val="16"/>
      <name val="Arial Narrow"/>
      <family val="2"/>
      <scheme val="minor"/>
    </font>
    <font>
      <sz val="10"/>
      <color theme="1"/>
      <name val="Arial Narrow"/>
      <family val="2"/>
      <scheme val="minor"/>
    </font>
    <font>
      <u/>
      <sz val="28"/>
      <color theme="10"/>
      <name val="Arial Narrow"/>
      <family val="2"/>
      <scheme val="minor"/>
    </font>
    <font>
      <u/>
      <sz val="36"/>
      <color theme="10"/>
      <name val="Arial Narrow"/>
      <family val="2"/>
      <scheme val="minor"/>
    </font>
    <font>
      <b/>
      <sz val="12"/>
      <color theme="1"/>
      <name val="Arial Narrow"/>
      <family val="2"/>
      <scheme val="minor"/>
    </font>
    <font>
      <b/>
      <sz val="16"/>
      <color theme="3"/>
      <name val="Arial Narrow"/>
      <family val="2"/>
      <scheme val="minor"/>
    </font>
    <font>
      <b/>
      <sz val="11"/>
      <name val="Arial Narrow"/>
      <family val="2"/>
      <scheme val="minor"/>
    </font>
  </fonts>
  <fills count="38">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rgb="FFC6EFCE"/>
      </patternFill>
    </fill>
    <fill>
      <patternFill patternType="solid">
        <fgColor theme="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indexed="43"/>
        <bgColor indexed="64"/>
      </patternFill>
    </fill>
    <fill>
      <patternFill patternType="solid">
        <fgColor indexed="44"/>
        <bgColor indexed="64"/>
      </patternFill>
    </fill>
    <fill>
      <patternFill patternType="solid">
        <fgColor rgb="FFFFC7CE"/>
      </patternFill>
    </fill>
    <fill>
      <patternFill patternType="solid">
        <fgColor rgb="FFFFEB9C"/>
      </patternFill>
    </fill>
    <fill>
      <patternFill patternType="solid">
        <fgColor rgb="FFFFFFCC"/>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5" tint="0.79998168889431442"/>
        <bgColor indexed="64"/>
      </patternFill>
    </fill>
  </fills>
  <borders count="21">
    <border>
      <left/>
      <right/>
      <top/>
      <bottom/>
      <diagonal/>
    </border>
    <border>
      <left/>
      <right/>
      <top/>
      <bottom style="thick">
        <color theme="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ck">
        <color theme="4" tint="0.499984740745262"/>
      </top>
      <bottom/>
      <diagonal/>
    </border>
    <border>
      <left style="thin">
        <color theme="0"/>
      </left>
      <right/>
      <top style="thin">
        <color theme="0"/>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s>
  <cellStyleXfs count="59">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xf numFmtId="0" fontId="5" fillId="3" borderId="3" applyNumberFormat="0" applyAlignment="0" applyProtection="0"/>
    <xf numFmtId="0" fontId="6" fillId="4" borderId="3" applyNumberFormat="0" applyAlignment="0" applyProtection="0"/>
    <xf numFmtId="0" fontId="8" fillId="4" borderId="4" applyNumberFormat="0" applyAlignment="0" applyProtection="0"/>
    <xf numFmtId="0" fontId="9" fillId="5" borderId="5" applyNumberFormat="0" applyAlignment="0" applyProtection="0"/>
    <xf numFmtId="0" fontId="10" fillId="6" borderId="0" applyNumberFormat="0" applyBorder="0" applyAlignment="0" applyProtection="0"/>
    <xf numFmtId="0" fontId="13" fillId="7" borderId="0" applyNumberFormat="0" applyBorder="0" applyAlignment="0" applyProtection="0"/>
    <xf numFmtId="0" fontId="10" fillId="8" borderId="0" applyNumberFormat="0" applyBorder="0" applyAlignment="0" applyProtection="0"/>
    <xf numFmtId="0" fontId="1" fillId="0" borderId="0"/>
    <xf numFmtId="0" fontId="1" fillId="0" borderId="0"/>
    <xf numFmtId="0" fontId="15" fillId="0" borderId="0"/>
    <xf numFmtId="43" fontId="1" fillId="0" borderId="0" applyFont="0" applyFill="0" applyBorder="0" applyAlignment="0" applyProtection="0"/>
    <xf numFmtId="0" fontId="1" fillId="0" borderId="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0" borderId="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0" borderId="0">
      <protection locked="0"/>
    </xf>
    <xf numFmtId="0" fontId="14" fillId="0" borderId="0">
      <protection locked="0"/>
    </xf>
    <xf numFmtId="0" fontId="17" fillId="17" borderId="0">
      <protection locked="0"/>
    </xf>
    <xf numFmtId="0" fontId="17" fillId="18" borderId="2">
      <alignment vertical="center"/>
      <protection locked="0"/>
    </xf>
    <xf numFmtId="0" fontId="14" fillId="18" borderId="0">
      <alignment vertical="center"/>
      <protection locked="0"/>
    </xf>
    <xf numFmtId="0" fontId="17" fillId="18" borderId="6">
      <alignment horizontal="center" vertical="center"/>
      <protection locked="0"/>
    </xf>
    <xf numFmtId="0" fontId="18" fillId="0" borderId="0">
      <protection locked="0"/>
    </xf>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21" borderId="10" applyNumberFormat="0" applyFont="0" applyAlignment="0" applyProtection="0"/>
    <xf numFmtId="0" fontId="7" fillId="0" borderId="11" applyNumberFormat="0" applyFill="0" applyAlignment="0" applyProtection="0"/>
    <xf numFmtId="0" fontId="10" fillId="22" borderId="0" applyNumberFormat="0" applyBorder="0" applyAlignment="0" applyProtection="0"/>
    <xf numFmtId="0" fontId="1"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7" fillId="0" borderId="0"/>
    <xf numFmtId="0" fontId="42" fillId="0" borderId="0" applyNumberFormat="0" applyFill="0" applyBorder="0" applyAlignment="0" applyProtection="0"/>
  </cellStyleXfs>
  <cellXfs count="209">
    <xf numFmtId="0" fontId="0" fillId="0" borderId="0" xfId="0"/>
    <xf numFmtId="0" fontId="2" fillId="0" borderId="1" xfId="2"/>
    <xf numFmtId="0" fontId="4" fillId="0" borderId="0" xfId="4"/>
    <xf numFmtId="0" fontId="3" fillId="0" borderId="0" xfId="3"/>
    <xf numFmtId="0" fontId="7" fillId="0" borderId="0" xfId="0" applyFont="1"/>
    <xf numFmtId="0" fontId="5" fillId="3" borderId="3" xfId="5"/>
    <xf numFmtId="0" fontId="3" fillId="2" borderId="0" xfId="3" applyFill="1"/>
    <xf numFmtId="0" fontId="11" fillId="0" borderId="0" xfId="0" applyFont="1"/>
    <xf numFmtId="0" fontId="12" fillId="0" borderId="0" xfId="0" applyFont="1" applyAlignment="1">
      <alignment vertical="top" wrapText="1"/>
    </xf>
    <xf numFmtId="0" fontId="12" fillId="0" borderId="0" xfId="0" applyFont="1" applyAlignment="1">
      <alignment wrapText="1"/>
    </xf>
    <xf numFmtId="1" fontId="8" fillId="4" borderId="4" xfId="7" applyNumberFormat="1"/>
    <xf numFmtId="1" fontId="0" fillId="0" borderId="0" xfId="0" applyNumberFormat="1"/>
    <xf numFmtId="0" fontId="10" fillId="6" borderId="0" xfId="9"/>
    <xf numFmtId="2" fontId="0" fillId="0" borderId="0" xfId="0" applyNumberFormat="1"/>
    <xf numFmtId="0" fontId="0" fillId="0" borderId="0" xfId="0" applyAlignment="1">
      <alignment wrapText="1"/>
    </xf>
    <xf numFmtId="0" fontId="11" fillId="0" borderId="0" xfId="0" applyFont="1" applyAlignment="1">
      <alignment wrapText="1"/>
    </xf>
    <xf numFmtId="2" fontId="3" fillId="0" borderId="0" xfId="3" applyNumberFormat="1"/>
    <xf numFmtId="9" fontId="0" fillId="0" borderId="0" xfId="1" applyFont="1"/>
    <xf numFmtId="0" fontId="0" fillId="0" borderId="0" xfId="0" applyAlignment="1">
      <alignment horizontal="center"/>
    </xf>
    <xf numFmtId="1" fontId="10" fillId="6" borderId="0" xfId="9" applyNumberFormat="1"/>
    <xf numFmtId="1" fontId="3" fillId="0" borderId="0" xfId="3" applyNumberFormat="1"/>
    <xf numFmtId="0" fontId="0" fillId="0" borderId="0" xfId="0" applyAlignment="1">
      <alignment horizontal="left" indent="1"/>
    </xf>
    <xf numFmtId="0" fontId="1" fillId="12" borderId="0" xfId="21"/>
    <xf numFmtId="0" fontId="1" fillId="13" borderId="0" xfId="22"/>
    <xf numFmtId="0" fontId="16" fillId="0" borderId="0" xfId="0" applyFont="1"/>
    <xf numFmtId="0" fontId="20" fillId="0" borderId="7" xfId="34"/>
    <xf numFmtId="0" fontId="0" fillId="0" borderId="0" xfId="0" applyAlignment="1">
      <alignment horizontal="left" vertical="top"/>
    </xf>
    <xf numFmtId="0" fontId="0" fillId="0" borderId="0" xfId="0" applyAlignment="1">
      <alignment horizontal="left" wrapText="1"/>
    </xf>
    <xf numFmtId="9" fontId="0" fillId="0" borderId="0" xfId="1" applyFont="1" applyAlignment="1">
      <alignment horizontal="center"/>
    </xf>
    <xf numFmtId="0" fontId="10" fillId="0" borderId="0" xfId="0" applyFont="1"/>
    <xf numFmtId="0" fontId="7" fillId="0" borderId="2" xfId="0" applyFont="1" applyBorder="1"/>
    <xf numFmtId="0" fontId="0" fillId="0" borderId="0" xfId="0" applyAlignment="1">
      <alignment vertical="top" wrapText="1"/>
    </xf>
    <xf numFmtId="0" fontId="28" fillId="0" borderId="0" xfId="0" applyFont="1"/>
    <xf numFmtId="0" fontId="27" fillId="0" borderId="0" xfId="3" applyFont="1" applyAlignment="1">
      <alignment horizontal="center" vertical="center"/>
    </xf>
    <xf numFmtId="0" fontId="21" fillId="0" borderId="0" xfId="36"/>
    <xf numFmtId="0" fontId="31" fillId="0" borderId="0" xfId="0" applyFont="1"/>
    <xf numFmtId="0" fontId="32" fillId="0" borderId="0" xfId="0" applyFont="1"/>
    <xf numFmtId="0" fontId="10" fillId="6" borderId="0" xfId="9" applyAlignment="1">
      <alignment horizontal="center"/>
    </xf>
    <xf numFmtId="0" fontId="33" fillId="0" borderId="7" xfId="34" applyFont="1"/>
    <xf numFmtId="1" fontId="10" fillId="6" borderId="0" xfId="9" applyNumberFormat="1" applyAlignment="1">
      <alignment horizontal="center" vertical="center"/>
    </xf>
    <xf numFmtId="2" fontId="7" fillId="0" borderId="0" xfId="0" applyNumberFormat="1"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left" vertical="top" wrapText="1"/>
    </xf>
    <xf numFmtId="0" fontId="0" fillId="0" borderId="2" xfId="0" applyBorder="1"/>
    <xf numFmtId="1" fontId="0" fillId="0" borderId="0" xfId="0" applyNumberFormat="1" applyAlignment="1">
      <alignment horizontal="center"/>
    </xf>
    <xf numFmtId="0" fontId="0" fillId="0" borderId="0" xfId="0" applyAlignment="1">
      <alignment vertical="center"/>
    </xf>
    <xf numFmtId="0" fontId="0" fillId="0" borderId="0" xfId="0" applyAlignment="1">
      <alignment horizontal="left"/>
    </xf>
    <xf numFmtId="0" fontId="10" fillId="6" borderId="0" xfId="9"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34" fillId="0" borderId="0" xfId="0" applyFont="1"/>
    <xf numFmtId="1" fontId="0" fillId="0" borderId="0" xfId="0" applyNumberFormat="1" applyAlignment="1">
      <alignment horizontal="left" vertical="top"/>
    </xf>
    <xf numFmtId="0" fontId="7" fillId="0" borderId="0" xfId="0" applyFont="1" applyAlignment="1">
      <alignment horizontal="left" vertical="top"/>
    </xf>
    <xf numFmtId="0" fontId="35" fillId="0" borderId="0" xfId="36" applyFont="1"/>
    <xf numFmtId="0" fontId="36" fillId="0" borderId="0" xfId="36" applyFont="1"/>
    <xf numFmtId="0" fontId="29" fillId="0" borderId="1" xfId="2" applyFont="1" applyAlignment="1">
      <alignment horizontal="center" vertical="center"/>
    </xf>
    <xf numFmtId="0" fontId="3" fillId="0" borderId="0" xfId="3" applyAlignment="1">
      <alignment horizontal="left" vertical="top"/>
    </xf>
    <xf numFmtId="0" fontId="26" fillId="0" borderId="0" xfId="0" applyFont="1"/>
    <xf numFmtId="0" fontId="26" fillId="0" borderId="0" xfId="0" applyFont="1" applyAlignment="1">
      <alignment horizontal="left" indent="1"/>
    </xf>
    <xf numFmtId="0" fontId="0" fillId="0" borderId="12" xfId="0" applyBorder="1" applyAlignment="1">
      <alignment horizontal="left" vertical="top"/>
    </xf>
    <xf numFmtId="2" fontId="1" fillId="13" borderId="12" xfId="22" applyNumberFormat="1" applyBorder="1" applyAlignment="1">
      <alignment horizontal="center" vertical="top"/>
    </xf>
    <xf numFmtId="2" fontId="5" fillId="3" borderId="12" xfId="5" applyNumberFormat="1" applyBorder="1" applyAlignment="1">
      <alignment horizontal="center" vertical="center"/>
    </xf>
    <xf numFmtId="0" fontId="10" fillId="24" borderId="12" xfId="45" applyBorder="1"/>
    <xf numFmtId="0" fontId="10" fillId="8" borderId="12" xfId="11" applyBorder="1" applyAlignment="1">
      <alignment horizontal="center" vertical="center"/>
    </xf>
    <xf numFmtId="0" fontId="10" fillId="6" borderId="12" xfId="9" applyBorder="1" applyAlignment="1">
      <alignment horizontal="center"/>
    </xf>
    <xf numFmtId="0" fontId="37" fillId="0" borderId="0" xfId="0" applyFont="1"/>
    <xf numFmtId="0" fontId="38" fillId="0" borderId="0" xfId="36" applyFont="1"/>
    <xf numFmtId="0" fontId="40" fillId="0" borderId="1" xfId="2" applyFont="1" applyAlignment="1">
      <alignment horizontal="left" vertical="center"/>
    </xf>
    <xf numFmtId="0" fontId="40" fillId="0" borderId="1" xfId="2" applyFont="1" applyAlignment="1">
      <alignment horizontal="left" vertical="top"/>
    </xf>
    <xf numFmtId="1" fontId="3" fillId="0" borderId="0" xfId="3" applyNumberFormat="1" applyAlignment="1">
      <alignment horizontal="center" wrapText="1"/>
    </xf>
    <xf numFmtId="0" fontId="28" fillId="2" borderId="0" xfId="0" applyFont="1" applyFill="1"/>
    <xf numFmtId="0" fontId="27" fillId="2" borderId="0" xfId="3" applyFont="1" applyFill="1" applyAlignment="1">
      <alignment horizontal="center" vertical="center"/>
    </xf>
    <xf numFmtId="0" fontId="7" fillId="0" borderId="0" xfId="0" applyFont="1" applyAlignment="1">
      <alignment horizontal="center"/>
    </xf>
    <xf numFmtId="0" fontId="3" fillId="12" borderId="0" xfId="3" applyFill="1"/>
    <xf numFmtId="0" fontId="7" fillId="12" borderId="0" xfId="21" applyFont="1"/>
    <xf numFmtId="1" fontId="5" fillId="3" borderId="3" xfId="5" applyNumberFormat="1" applyAlignment="1">
      <alignment horizontal="center"/>
    </xf>
    <xf numFmtId="0" fontId="43" fillId="0" borderId="0" xfId="4" applyFont="1"/>
    <xf numFmtId="0" fontId="4" fillId="0" borderId="0" xfId="4" applyAlignment="1">
      <alignment horizontal="center" vertical="center" wrapText="1"/>
    </xf>
    <xf numFmtId="0" fontId="1" fillId="12" borderId="0" xfId="21" applyAlignment="1">
      <alignment horizontal="center" vertical="center" wrapText="1"/>
    </xf>
    <xf numFmtId="0" fontId="0" fillId="12" borderId="0" xfId="21" applyFont="1" applyAlignment="1">
      <alignment horizontal="center" vertical="center" wrapText="1"/>
    </xf>
    <xf numFmtId="0" fontId="1" fillId="13" borderId="0" xfId="22" applyAlignment="1">
      <alignment horizontal="center" vertical="center" wrapText="1"/>
    </xf>
    <xf numFmtId="0" fontId="1" fillId="13" borderId="0" xfId="22" applyAlignment="1">
      <alignment horizontal="center" vertical="center"/>
    </xf>
    <xf numFmtId="0" fontId="0" fillId="13" borderId="0" xfId="22" applyFont="1" applyAlignment="1">
      <alignment horizontal="center" vertical="center"/>
    </xf>
    <xf numFmtId="164" fontId="0" fillId="0" borderId="0" xfId="0" applyNumberFormat="1" applyAlignment="1">
      <alignment horizontal="center"/>
    </xf>
    <xf numFmtId="164" fontId="22" fillId="19" borderId="0" xfId="37" applyNumberFormat="1" applyAlignment="1">
      <alignment horizontal="center"/>
    </xf>
    <xf numFmtId="0" fontId="6" fillId="4" borderId="3" xfId="6" applyAlignment="1">
      <alignment horizontal="center"/>
    </xf>
    <xf numFmtId="1" fontId="6" fillId="4" borderId="3" xfId="6" applyNumberFormat="1" applyAlignment="1">
      <alignment horizontal="center"/>
    </xf>
    <xf numFmtId="2" fontId="8" fillId="4" borderId="4" xfId="7" applyNumberFormat="1" applyAlignment="1">
      <alignment horizontal="center"/>
    </xf>
    <xf numFmtId="1" fontId="10" fillId="6" borderId="0" xfId="9" applyNumberFormat="1" applyAlignment="1">
      <alignment horizontal="center"/>
    </xf>
    <xf numFmtId="10" fontId="7" fillId="0" borderId="0" xfId="1" applyNumberFormat="1" applyFont="1"/>
    <xf numFmtId="1" fontId="5" fillId="3" borderId="3" xfId="5" applyNumberFormat="1"/>
    <xf numFmtId="2" fontId="5" fillId="3" borderId="3" xfId="5" applyNumberFormat="1" applyAlignment="1">
      <alignment horizontal="center"/>
    </xf>
    <xf numFmtId="10" fontId="3" fillId="0" borderId="0" xfId="1" applyNumberFormat="1" applyFont="1" applyAlignment="1">
      <alignment horizontal="center"/>
    </xf>
    <xf numFmtId="0" fontId="10" fillId="2" borderId="0" xfId="0" applyFont="1" applyFill="1"/>
    <xf numFmtId="1" fontId="30" fillId="2" borderId="0" xfId="3" applyNumberFormat="1" applyFont="1" applyFill="1"/>
    <xf numFmtId="0" fontId="9" fillId="5" borderId="5" xfId="8" applyAlignment="1">
      <alignment horizontal="center" vertical="center"/>
    </xf>
    <xf numFmtId="0" fontId="0" fillId="0" borderId="0" xfId="0" applyAlignment="1">
      <alignment vertical="top"/>
    </xf>
    <xf numFmtId="49" fontId="0" fillId="2" borderId="0" xfId="0" applyNumberFormat="1" applyFill="1" applyAlignment="1">
      <alignment horizontal="left" vertical="top"/>
    </xf>
    <xf numFmtId="0" fontId="0" fillId="2" borderId="0" xfId="0" applyFill="1"/>
    <xf numFmtId="0" fontId="44" fillId="2" borderId="0" xfId="0" applyFont="1" applyFill="1"/>
    <xf numFmtId="0" fontId="3" fillId="2" borderId="0" xfId="3" applyFill="1" applyAlignment="1">
      <alignment horizontal="center" vertical="center"/>
    </xf>
    <xf numFmtId="0" fontId="0" fillId="2" borderId="0" xfId="0" applyFill="1" applyAlignment="1">
      <alignment vertical="top" wrapText="1"/>
    </xf>
    <xf numFmtId="0" fontId="0" fillId="2" borderId="0" xfId="0" applyFill="1" applyAlignment="1">
      <alignment vertical="top"/>
    </xf>
    <xf numFmtId="0" fontId="42" fillId="2" borderId="0" xfId="58" applyFill="1"/>
    <xf numFmtId="0" fontId="7" fillId="2" borderId="0" xfId="0" applyFont="1" applyFill="1"/>
    <xf numFmtId="49" fontId="0" fillId="2" borderId="0" xfId="0" applyNumberFormat="1" applyFill="1" applyAlignment="1">
      <alignment horizontal="left" vertical="top" wrapText="1"/>
    </xf>
    <xf numFmtId="0" fontId="46" fillId="2" borderId="0" xfId="58" applyFont="1" applyFill="1"/>
    <xf numFmtId="49" fontId="45" fillId="2" borderId="0" xfId="0" applyNumberFormat="1" applyFont="1" applyFill="1" applyAlignment="1">
      <alignment horizontal="center" vertical="top"/>
    </xf>
    <xf numFmtId="1" fontId="6" fillId="4" borderId="3" xfId="6" applyNumberFormat="1"/>
    <xf numFmtId="2" fontId="5" fillId="3" borderId="3" xfId="5" applyNumberFormat="1"/>
    <xf numFmtId="2" fontId="6" fillId="4" borderId="3" xfId="6" applyNumberFormat="1" applyAlignment="1">
      <alignment horizontal="center"/>
    </xf>
    <xf numFmtId="0" fontId="5" fillId="3" borderId="3" xfId="5" applyAlignment="1">
      <alignment horizontal="center"/>
    </xf>
    <xf numFmtId="0" fontId="0" fillId="0" borderId="0" xfId="0" applyAlignment="1">
      <alignment horizontal="center" vertical="top"/>
    </xf>
    <xf numFmtId="0" fontId="0" fillId="0" borderId="0" xfId="0" applyAlignment="1">
      <alignment horizontal="center" vertical="center" wrapText="1"/>
    </xf>
    <xf numFmtId="0" fontId="0" fillId="0" borderId="0" xfId="0" applyAlignment="1">
      <alignment horizontal="center" vertical="center"/>
    </xf>
    <xf numFmtId="0" fontId="0" fillId="14" borderId="0" xfId="23" applyFont="1" applyAlignment="1">
      <alignment horizontal="center" vertical="center" wrapText="1"/>
    </xf>
    <xf numFmtId="0" fontId="1" fillId="14" borderId="0" xfId="23" applyAlignment="1">
      <alignment horizontal="center" vertical="center" wrapText="1"/>
    </xf>
    <xf numFmtId="165" fontId="6" fillId="4" borderId="3" xfId="6" applyNumberFormat="1" applyAlignment="1">
      <alignment horizontal="center"/>
    </xf>
    <xf numFmtId="166" fontId="6" fillId="4" borderId="3" xfId="6" applyNumberFormat="1" applyAlignment="1">
      <alignment horizontal="center"/>
    </xf>
    <xf numFmtId="167" fontId="6" fillId="4" borderId="3" xfId="6" applyNumberFormat="1" applyAlignment="1">
      <alignment horizontal="center"/>
    </xf>
    <xf numFmtId="0" fontId="1" fillId="12" borderId="0" xfId="21" applyAlignment="1">
      <alignment horizontal="center" wrapText="1"/>
    </xf>
    <xf numFmtId="0" fontId="1" fillId="13" borderId="0" xfId="22" applyAlignment="1">
      <alignment horizontal="center" wrapText="1"/>
    </xf>
    <xf numFmtId="0" fontId="1" fillId="11" borderId="0" xfId="19" applyAlignment="1">
      <alignment horizontal="center" wrapText="1"/>
    </xf>
    <xf numFmtId="164" fontId="6" fillId="4" borderId="3" xfId="6" applyNumberFormat="1" applyAlignment="1">
      <alignment horizontal="center"/>
    </xf>
    <xf numFmtId="0" fontId="1" fillId="15" borderId="0" xfId="24" applyAlignment="1">
      <alignment horizontal="center" vertical="center" wrapText="1"/>
    </xf>
    <xf numFmtId="0" fontId="1" fillId="16" borderId="0" xfId="25" applyAlignment="1">
      <alignment horizontal="center" vertical="center" wrapText="1"/>
    </xf>
    <xf numFmtId="165" fontId="24" fillId="4" borderId="3" xfId="6" applyNumberFormat="1" applyFont="1" applyAlignment="1">
      <alignment horizontal="center"/>
    </xf>
    <xf numFmtId="167" fontId="24" fillId="4" borderId="3" xfId="6" applyNumberFormat="1" applyFont="1" applyAlignment="1">
      <alignment horizontal="center"/>
    </xf>
    <xf numFmtId="0" fontId="2" fillId="2" borderId="1" xfId="2" applyFill="1"/>
    <xf numFmtId="0" fontId="4" fillId="2" borderId="0" xfId="4" applyFill="1"/>
    <xf numFmtId="0" fontId="4" fillId="2" borderId="0" xfId="4" applyFill="1" applyAlignment="1">
      <alignment horizontal="center" vertical="center" wrapText="1"/>
    </xf>
    <xf numFmtId="0" fontId="24" fillId="4" borderId="3" xfId="6" applyFont="1"/>
    <xf numFmtId="1" fontId="7" fillId="0" borderId="0" xfId="0" applyNumberFormat="1" applyFont="1"/>
    <xf numFmtId="0" fontId="0" fillId="0" borderId="0" xfId="0" applyAlignment="1">
      <alignment horizontal="right"/>
    </xf>
    <xf numFmtId="0" fontId="3" fillId="0" borderId="0" xfId="3" applyFill="1" applyBorder="1"/>
    <xf numFmtId="10" fontId="3" fillId="0" borderId="0" xfId="3" applyNumberFormat="1"/>
    <xf numFmtId="9" fontId="8" fillId="4" borderId="4" xfId="7" applyNumberFormat="1" applyAlignment="1">
      <alignment horizontal="center"/>
    </xf>
    <xf numFmtId="2" fontId="0" fillId="0" borderId="0" xfId="0" applyNumberFormat="1" applyAlignment="1">
      <alignment horizontal="right"/>
    </xf>
    <xf numFmtId="0" fontId="16" fillId="0" borderId="2" xfId="0" applyFont="1" applyBorder="1"/>
    <xf numFmtId="2" fontId="16" fillId="0" borderId="2" xfId="0" applyNumberFormat="1" applyFont="1" applyBorder="1"/>
    <xf numFmtId="2" fontId="7" fillId="0" borderId="2" xfId="0" applyNumberFormat="1" applyFont="1" applyBorder="1"/>
    <xf numFmtId="2" fontId="0" fillId="0" borderId="0" xfId="0" applyNumberFormat="1" applyAlignment="1">
      <alignment horizontal="right" vertical="center"/>
    </xf>
    <xf numFmtId="2" fontId="7" fillId="0" borderId="0" xfId="0" applyNumberFormat="1" applyFont="1" applyAlignment="1">
      <alignment horizontal="right" vertical="center"/>
    </xf>
    <xf numFmtId="10" fontId="3" fillId="0" borderId="0" xfId="3" applyNumberFormat="1" applyAlignment="1">
      <alignment horizontal="right"/>
    </xf>
    <xf numFmtId="1" fontId="10" fillId="2" borderId="0" xfId="9" applyNumberFormat="1" applyFont="1" applyFill="1"/>
    <xf numFmtId="0" fontId="6" fillId="4" borderId="3" xfId="6"/>
    <xf numFmtId="9" fontId="6" fillId="4" borderId="3" xfId="6" applyNumberFormat="1"/>
    <xf numFmtId="0" fontId="0" fillId="0" borderId="0" xfId="0" applyAlignment="1">
      <alignment horizontal="left" vertical="top" wrapText="1"/>
    </xf>
    <xf numFmtId="0" fontId="0" fillId="0" borderId="0" xfId="0" applyFont="1"/>
    <xf numFmtId="0" fontId="10" fillId="6" borderId="0" xfId="9" applyAlignment="1">
      <alignment horizontal="center" vertical="center" wrapText="1"/>
    </xf>
    <xf numFmtId="9" fontId="1" fillId="12" borderId="0" xfId="21" applyNumberFormat="1"/>
    <xf numFmtId="0" fontId="0" fillId="0" borderId="0" xfId="0" applyAlignment="1">
      <alignment horizontal="left" vertical="top"/>
    </xf>
    <xf numFmtId="0" fontId="0" fillId="0" borderId="0" xfId="0" applyFont="1" applyAlignment="1">
      <alignment vertical="top" wrapText="1"/>
    </xf>
    <xf numFmtId="0" fontId="0" fillId="0" borderId="0" xfId="0" applyFont="1" applyAlignment="1">
      <alignment horizontal="left" wrapText="1"/>
    </xf>
    <xf numFmtId="0" fontId="34" fillId="0" borderId="0" xfId="0" applyFont="1" applyAlignment="1">
      <alignment vertical="center"/>
    </xf>
    <xf numFmtId="0" fontId="36" fillId="0" borderId="0" xfId="36" applyFont="1" applyAlignment="1">
      <alignment vertical="center"/>
    </xf>
    <xf numFmtId="0" fontId="10" fillId="8" borderId="0" xfId="11" applyAlignment="1">
      <alignment horizontal="center" vertical="center" wrapText="1"/>
    </xf>
    <xf numFmtId="0" fontId="10" fillId="2" borderId="12" xfId="45" applyFont="1" applyFill="1" applyBorder="1"/>
    <xf numFmtId="0" fontId="10" fillId="2" borderId="12" xfId="43" applyFont="1" applyFill="1" applyBorder="1" applyAlignment="1">
      <alignment horizontal="center"/>
    </xf>
    <xf numFmtId="0" fontId="10" fillId="2" borderId="12" xfId="0" applyFont="1" applyFill="1" applyBorder="1" applyAlignment="1">
      <alignment horizontal="left" vertical="top"/>
    </xf>
    <xf numFmtId="2" fontId="9" fillId="2" borderId="12" xfId="6" applyNumberFormat="1" applyFont="1" applyFill="1" applyBorder="1" applyAlignment="1">
      <alignment horizontal="center" vertical="top"/>
    </xf>
    <xf numFmtId="0" fontId="42" fillId="0" borderId="0" xfId="58" applyAlignment="1">
      <alignment horizontal="center"/>
    </xf>
    <xf numFmtId="0" fontId="0" fillId="0" borderId="0" xfId="0" applyAlignment="1">
      <alignment horizontal="left" vertical="top" wrapText="1"/>
    </xf>
    <xf numFmtId="0" fontId="0" fillId="0" borderId="0" xfId="0" applyAlignment="1">
      <alignment horizontal="left" vertical="center" wrapText="1"/>
    </xf>
    <xf numFmtId="0" fontId="49" fillId="0" borderId="0" xfId="36" applyFont="1"/>
    <xf numFmtId="0" fontId="28" fillId="0" borderId="0" xfId="0" applyFont="1" applyAlignment="1">
      <alignment horizontal="left" vertical="top"/>
    </xf>
    <xf numFmtId="0" fontId="28" fillId="0" borderId="0" xfId="0" applyFont="1" applyAlignment="1">
      <alignment vertical="top"/>
    </xf>
    <xf numFmtId="0" fontId="36" fillId="0" borderId="0" xfId="36" applyFont="1" applyAlignment="1">
      <alignment vertical="center" wrapText="1"/>
    </xf>
    <xf numFmtId="0" fontId="41" fillId="2" borderId="13" xfId="43" applyFont="1" applyFill="1" applyBorder="1" applyAlignment="1"/>
    <xf numFmtId="0" fontId="41" fillId="2" borderId="14" xfId="43" applyFont="1" applyFill="1" applyBorder="1" applyAlignment="1"/>
    <xf numFmtId="0" fontId="41" fillId="2" borderId="15" xfId="43" applyFont="1" applyFill="1" applyBorder="1" applyAlignment="1"/>
    <xf numFmtId="0" fontId="0" fillId="0" borderId="17" xfId="0" applyFill="1" applyBorder="1" applyAlignment="1">
      <alignment vertical="top"/>
    </xf>
    <xf numFmtId="0" fontId="0" fillId="0" borderId="0" xfId="0" applyAlignment="1"/>
    <xf numFmtId="1" fontId="5" fillId="3" borderId="12" xfId="5" applyNumberFormat="1" applyBorder="1" applyAlignment="1">
      <alignment horizontal="center" vertical="center"/>
    </xf>
    <xf numFmtId="9" fontId="24" fillId="4" borderId="0" xfId="6" applyNumberFormat="1" applyFont="1" applyBorder="1" applyAlignment="1">
      <alignment horizontal="center"/>
    </xf>
    <xf numFmtId="2" fontId="0" fillId="0" borderId="0" xfId="0" applyNumberFormat="1" applyAlignment="1">
      <alignment horizontal="center"/>
    </xf>
    <xf numFmtId="2" fontId="5" fillId="3" borderId="12" xfId="5" applyNumberFormat="1" applyBorder="1" applyAlignment="1" applyProtection="1">
      <alignment horizontal="center" vertical="center"/>
    </xf>
    <xf numFmtId="1" fontId="5" fillId="3" borderId="12" xfId="5" applyNumberFormat="1" applyBorder="1" applyAlignment="1" applyProtection="1">
      <alignment horizontal="center" vertical="center"/>
    </xf>
    <xf numFmtId="0" fontId="7" fillId="37" borderId="0" xfId="0" applyFont="1" applyFill="1" applyAlignment="1">
      <alignment horizontal="right"/>
    </xf>
    <xf numFmtId="0" fontId="7" fillId="37" borderId="0" xfId="0" applyFont="1" applyFill="1"/>
    <xf numFmtId="0" fontId="7" fillId="37" borderId="0" xfId="0" applyFont="1" applyFill="1" applyAlignment="1">
      <alignment horizontal="center"/>
    </xf>
    <xf numFmtId="49" fontId="39" fillId="2" borderId="1" xfId="2" applyNumberFormat="1" applyFont="1" applyFill="1" applyAlignment="1">
      <alignment horizontal="center" vertical="top" wrapText="1"/>
    </xf>
    <xf numFmtId="0" fontId="47" fillId="2" borderId="0" xfId="58" applyFont="1" applyFill="1" applyAlignment="1">
      <alignment horizontal="center"/>
    </xf>
    <xf numFmtId="0" fontId="0" fillId="0" borderId="0" xfId="0" applyAlignment="1">
      <alignment horizontal="left" vertical="top" wrapText="1"/>
    </xf>
    <xf numFmtId="0" fontId="0" fillId="2" borderId="0" xfId="0" applyFill="1" applyAlignment="1">
      <alignment vertical="top" wrapText="1"/>
    </xf>
    <xf numFmtId="0" fontId="0" fillId="0" borderId="0" xfId="0" applyAlignment="1">
      <alignment horizontal="left" wrapText="1"/>
    </xf>
    <xf numFmtId="0" fontId="0" fillId="0" borderId="0" xfId="0" applyAlignment="1">
      <alignment horizontal="left"/>
    </xf>
    <xf numFmtId="0" fontId="7" fillId="0" borderId="0" xfId="0" applyFont="1" applyBorder="1" applyAlignment="1">
      <alignment horizontal="center"/>
    </xf>
    <xf numFmtId="0" fontId="5" fillId="3" borderId="18" xfId="5" applyBorder="1" applyAlignment="1">
      <alignment horizontal="center"/>
    </xf>
    <xf numFmtId="0" fontId="5" fillId="3" borderId="20" xfId="5" applyBorder="1" applyAlignment="1">
      <alignment horizontal="center"/>
    </xf>
    <xf numFmtId="0" fontId="24" fillId="4" borderId="0" xfId="6" applyFont="1" applyBorder="1" applyAlignment="1">
      <alignment horizontal="center"/>
    </xf>
    <xf numFmtId="0" fontId="48" fillId="0" borderId="0" xfId="0" applyFont="1" applyBorder="1" applyAlignment="1">
      <alignment horizontal="center"/>
    </xf>
    <xf numFmtId="0" fontId="7" fillId="0" borderId="0" xfId="0" applyFont="1" applyAlignment="1">
      <alignment horizontal="center"/>
    </xf>
    <xf numFmtId="0" fontId="36" fillId="0" borderId="0" xfId="36" applyFont="1" applyAlignment="1">
      <alignment horizontal="left" vertical="center" wrapText="1"/>
    </xf>
    <xf numFmtId="0" fontId="41" fillId="6" borderId="13" xfId="9" applyFont="1" applyBorder="1" applyAlignment="1">
      <alignment horizontal="center"/>
    </xf>
    <xf numFmtId="0" fontId="41" fillId="6" borderId="14" xfId="9" applyFont="1" applyBorder="1" applyAlignment="1">
      <alignment horizontal="center"/>
    </xf>
    <xf numFmtId="0" fontId="41" fillId="6" borderId="15" xfId="9" applyFont="1" applyBorder="1" applyAlignment="1">
      <alignment horizontal="center"/>
    </xf>
    <xf numFmtId="0" fontId="37" fillId="0" borderId="0" xfId="0" applyFont="1" applyAlignment="1">
      <alignment horizontal="center"/>
    </xf>
    <xf numFmtId="0" fontId="3" fillId="0" borderId="16" xfId="3" applyBorder="1" applyAlignment="1">
      <alignment horizontal="left" wrapText="1"/>
    </xf>
    <xf numFmtId="0" fontId="39" fillId="0" borderId="1" xfId="2" applyFont="1" applyAlignment="1">
      <alignment horizontal="right" vertical="top"/>
    </xf>
    <xf numFmtId="0" fontId="9" fillId="36" borderId="0" xfId="0" applyFont="1" applyFill="1" applyAlignment="1">
      <alignment horizontal="center"/>
    </xf>
    <xf numFmtId="0" fontId="9" fillId="36" borderId="0" xfId="0" applyFont="1" applyFill="1" applyBorder="1" applyAlignment="1">
      <alignment horizontal="center"/>
    </xf>
    <xf numFmtId="0" fontId="16" fillId="0" borderId="0" xfId="0" applyFont="1" applyAlignment="1">
      <alignment horizontal="left" vertical="top" wrapText="1"/>
    </xf>
    <xf numFmtId="0" fontId="5" fillId="3" borderId="19" xfId="5" applyBorder="1" applyAlignment="1">
      <alignment horizontal="center"/>
    </xf>
    <xf numFmtId="0" fontId="0" fillId="0" borderId="0" xfId="0" applyFont="1" applyAlignment="1">
      <alignment horizontal="left" wrapText="1"/>
    </xf>
    <xf numFmtId="0" fontId="41" fillId="8" borderId="13" xfId="11" applyFont="1" applyBorder="1" applyAlignment="1">
      <alignment horizontal="center" vertical="center"/>
    </xf>
    <xf numFmtId="0" fontId="41" fillId="8" borderId="14" xfId="11" applyFont="1" applyBorder="1" applyAlignment="1">
      <alignment horizontal="center" vertical="center"/>
    </xf>
    <xf numFmtId="0" fontId="41" fillId="8" borderId="15" xfId="11" applyFont="1" applyBorder="1" applyAlignment="1">
      <alignment horizontal="center" vertical="center"/>
    </xf>
  </cellXfs>
  <cellStyles count="59">
    <cellStyle name="20% - Accent1" xfId="21" builtinId="30" customBuiltin="1"/>
    <cellStyle name="20% - Accent2" xfId="22" builtinId="34" customBuiltin="1"/>
    <cellStyle name="20% - Accent3" xfId="19" builtinId="38" customBuiltin="1"/>
    <cellStyle name="20% - Accent4" xfId="46" builtinId="42" customBuiltin="1"/>
    <cellStyle name="20% - Accent5" xfId="50" builtinId="46" customBuiltin="1"/>
    <cellStyle name="20% - Accent6" xfId="54" builtinId="50" customBuiltin="1"/>
    <cellStyle name="40% - Accent1" xfId="23" builtinId="31" customBuiltin="1"/>
    <cellStyle name="40% - Accent2" xfId="24" builtinId="35" customBuiltin="1"/>
    <cellStyle name="40% - Accent3" xfId="25" builtinId="39" customBuiltin="1"/>
    <cellStyle name="40% - Accent4" xfId="47" builtinId="43" customBuiltin="1"/>
    <cellStyle name="40% - Accent5" xfId="51" builtinId="47" customBuiltin="1"/>
    <cellStyle name="40% - Accent6" xfId="55" builtinId="51" customBuiltin="1"/>
    <cellStyle name="60% - Accent1" xfId="17" builtinId="32" customBuiltin="1"/>
    <cellStyle name="60% - Accent2" xfId="18" builtinId="36" customBuiltin="1"/>
    <cellStyle name="60% - Accent3" xfId="44" builtinId="40" customBuiltin="1"/>
    <cellStyle name="60% - Accent4" xfId="48" builtinId="44" customBuiltin="1"/>
    <cellStyle name="60% - Accent5" xfId="52" builtinId="48" customBuiltin="1"/>
    <cellStyle name="60% - Accent6" xfId="56" builtinId="52" customBuiltin="1"/>
    <cellStyle name="Accent1" xfId="9" builtinId="29" customBuiltin="1"/>
    <cellStyle name="Accent2" xfId="11" builtinId="33" customBuiltin="1"/>
    <cellStyle name="Accent3" xfId="43" builtinId="37" customBuiltin="1"/>
    <cellStyle name="Accent4" xfId="45" builtinId="41" customBuiltin="1"/>
    <cellStyle name="Accent5" xfId="49" builtinId="45" customBuiltin="1"/>
    <cellStyle name="Accent6" xfId="53" builtinId="49" customBuiltin="1"/>
    <cellStyle name="Bad" xfId="37" builtinId="27" customBuiltin="1"/>
    <cellStyle name="Calculation" xfId="6" builtinId="22" customBuiltin="1"/>
    <cellStyle name="cells" xfId="28"/>
    <cellStyle name="Check Cell" xfId="8" builtinId="23" customBuiltin="1"/>
    <cellStyle name="column field" xfId="31"/>
    <cellStyle name="Comma 2" xfId="15"/>
    <cellStyle name="Explanatory Text" xfId="3" builtinId="53" customBuiltin="1"/>
    <cellStyle name="field names" xfId="30"/>
    <cellStyle name="footer" xfId="27"/>
    <cellStyle name="Good" xfId="10" builtinId="26" customBuiltin="1"/>
    <cellStyle name="heading" xfId="32"/>
    <cellStyle name="Heading 1" xfId="2" builtinId="16" customBuiltin="1"/>
    <cellStyle name="Heading 2" xfId="34" builtinId="17" customBuiltin="1"/>
    <cellStyle name="Heading 3" xfId="35" builtinId="18" customBuiltin="1"/>
    <cellStyle name="Heading 4" xfId="36" builtinId="19" customBuiltin="1"/>
    <cellStyle name="Hyperlink" xfId="58" builtinId="8"/>
    <cellStyle name="Input" xfId="5" builtinId="20" customBuiltin="1"/>
    <cellStyle name="Linked Cell" xfId="39" builtinId="24" customBuiltin="1"/>
    <cellStyle name="Neutral" xfId="38" builtinId="28" customBuiltin="1"/>
    <cellStyle name="Normal" xfId="0" builtinId="0"/>
    <cellStyle name="Normal 2" xfId="4"/>
    <cellStyle name="Normal 2 2" xfId="14"/>
    <cellStyle name="Normal 3" xfId="20"/>
    <cellStyle name="Normal 3 2" xfId="12"/>
    <cellStyle name="Normal 4" xfId="26"/>
    <cellStyle name="Normal 5" xfId="57"/>
    <cellStyle name="Normal 5 2" xfId="13"/>
    <cellStyle name="Normal 6 2" xfId="16"/>
    <cellStyle name="Note" xfId="41" builtinId="10" customBuiltin="1"/>
    <cellStyle name="Output" xfId="7" builtinId="21" customBuiltin="1"/>
    <cellStyle name="Percent" xfId="1" builtinId="5"/>
    <cellStyle name="rowfield" xfId="29"/>
    <cellStyle name="Title" xfId="33" builtinId="15" customBuiltin="1"/>
    <cellStyle name="Total" xfId="42" builtinId="25" customBuiltin="1"/>
    <cellStyle name="Warning Text" xfId="40" builtinId="11" customBuiltin="1"/>
  </cellStyles>
  <dxfs count="14">
    <dxf>
      <fill>
        <patternFill>
          <bgColor rgb="FF92D050"/>
        </patternFill>
      </fill>
    </dxf>
    <dxf>
      <font>
        <color rgb="FF92D050"/>
      </font>
    </dxf>
    <dxf>
      <font>
        <color rgb="FFFF0000"/>
      </font>
    </dxf>
    <dxf>
      <font>
        <color rgb="FF92D050"/>
      </font>
    </dxf>
    <dxf>
      <font>
        <color rgb="FFFF0000"/>
      </font>
    </dxf>
    <dxf>
      <font>
        <color rgb="FF92D050"/>
      </font>
    </dxf>
    <dxf>
      <font>
        <color rgb="FFFF0000"/>
      </font>
    </dxf>
    <dxf>
      <font>
        <color rgb="FF92D050"/>
      </font>
    </dxf>
    <dxf>
      <font>
        <color rgb="FFFF0000"/>
      </font>
    </dxf>
    <dxf>
      <font>
        <color rgb="FF92D050"/>
      </font>
    </dxf>
    <dxf>
      <font>
        <color rgb="FFFF0000"/>
      </font>
    </dxf>
    <dxf>
      <font>
        <color rgb="FF92D05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'COUNCIL REPORT'!$D$233</c:f>
              <c:strCache>
                <c:ptCount val="1"/>
                <c:pt idx="0">
                  <c:v>2018-19</c:v>
                </c:pt>
              </c:strCache>
            </c:strRef>
          </c:tx>
          <c:spPr>
            <a:solidFill>
              <a:srgbClr val="9D57A6"/>
            </a:solidFill>
            <a:ln w="6350" cmpd="sng" algn="ctr">
              <a:solidFill>
                <a:srgbClr val="9D57A6"/>
              </a:solidFill>
              <a:prstDash val="soli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'COUNCIL REPORT'!$B$234:$B$237</c:f>
              <c:strCache>
                <c:ptCount val="4"/>
                <c:pt idx="0">
                  <c:v>Workforce demand</c:v>
                </c:pt>
                <c:pt idx="1">
                  <c:v>Universal MCH</c:v>
                </c:pt>
                <c:pt idx="2">
                  <c:v>Enhanced MCH</c:v>
                </c:pt>
                <c:pt idx="3">
                  <c:v>Enhanced non-MCH</c:v>
                </c:pt>
              </c:strCache>
            </c:strRef>
          </c:cat>
          <c:val>
            <c:numRef>
              <c:f>'COUNCIL REPORT'!$D$234:$D$237</c:f>
              <c:numCache>
                <c:formatCode>0.00</c:formatCode>
                <c:ptCount val="4"/>
                <c:pt idx="0">
                  <c:v>1.1072052738051026</c:v>
                </c:pt>
                <c:pt idx="1">
                  <c:v>0.62648428054845351</c:v>
                </c:pt>
                <c:pt idx="2">
                  <c:v>0.48072099325664919</c:v>
                </c:pt>
                <c:pt idx="3">
                  <c:v>0</c:v>
                </c:pt>
              </c:numCache>
            </c:numRef>
          </c:val>
          <c:extLst xmlns:c15="http://schemas.microsoft.com/office/drawing/2012/chart">
            <c:ext xmlns:c16="http://schemas.microsoft.com/office/drawing/2014/chart" uri="{C3380CC4-5D6E-409C-BE32-E72D297353CC}">
              <c16:uniqueId val="{00000005-5B49-4327-A6CB-0846B1FFA8E2}"/>
            </c:ext>
          </c:extLst>
        </c:ser>
        <c:ser>
          <c:idx val="6"/>
          <c:order val="5"/>
          <c:tx>
            <c:strRef>
              <c:f>'COUNCIL REPORT'!$I$233</c:f>
              <c:strCache>
                <c:ptCount val="1"/>
                <c:pt idx="0">
                  <c:v>2023-24</c:v>
                </c:pt>
              </c:strCache>
            </c:strRef>
          </c:tx>
          <c:spPr>
            <a:solidFill>
              <a:srgbClr val="FFAF3B"/>
            </a:solidFill>
            <a:ln w="6350">
              <a:solidFill>
                <a:srgbClr val="FFAF3B"/>
              </a:solidFill>
              <a:prstDash val="soli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'COUNCIL REPORT'!$B$234:$B$237</c:f>
              <c:strCache>
                <c:ptCount val="4"/>
                <c:pt idx="0">
                  <c:v>Workforce demand</c:v>
                </c:pt>
                <c:pt idx="1">
                  <c:v>Universal MCH</c:v>
                </c:pt>
                <c:pt idx="2">
                  <c:v>Enhanced MCH</c:v>
                </c:pt>
                <c:pt idx="3">
                  <c:v>Enhanced non-MCH</c:v>
                </c:pt>
              </c:strCache>
            </c:strRef>
          </c:cat>
          <c:val>
            <c:numRef>
              <c:f>'COUNCIL REPORT'!$I$234:$I$237</c:f>
              <c:numCache>
                <c:formatCode>0.00</c:formatCode>
                <c:ptCount val="4"/>
                <c:pt idx="0">
                  <c:v>1.6334328411326227</c:v>
                </c:pt>
                <c:pt idx="1">
                  <c:v>0.59291926026481834</c:v>
                </c:pt>
                <c:pt idx="2">
                  <c:v>1.0405135808678043</c:v>
                </c:pt>
                <c:pt idx="3">
                  <c:v>0</c:v>
                </c:pt>
              </c:numCache>
            </c:numRef>
          </c:val>
          <c:extLst>
            <c:ext xmlns:c16="http://schemas.microsoft.com/office/drawing/2014/chart" uri="{C3380CC4-5D6E-409C-BE32-E72D297353CC}">
              <c16:uniqueId val="{00000000-7E86-41D6-83A8-AF62D528CFA9}"/>
            </c:ext>
          </c:extLst>
        </c:ser>
        <c:ser>
          <c:idx val="3"/>
          <c:order val="10"/>
          <c:tx>
            <c:strRef>
              <c:f>'COUNCIL REPORT'!$N$233</c:f>
              <c:strCache>
                <c:ptCount val="1"/>
                <c:pt idx="0">
                  <c:v>2028-29</c:v>
                </c:pt>
              </c:strCache>
            </c:strRef>
          </c:tx>
          <c:spPr>
            <a:solidFill>
              <a:srgbClr val="A5A5A5"/>
            </a:solidFill>
            <a:ln w="6350">
              <a:solidFill>
                <a:srgbClr val="A5A5A5"/>
              </a:solidFill>
              <a:prstDash val="soli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'COUNCIL REPORT'!$B$234:$B$237</c:f>
              <c:strCache>
                <c:ptCount val="4"/>
                <c:pt idx="0">
                  <c:v>Workforce demand</c:v>
                </c:pt>
                <c:pt idx="1">
                  <c:v>Universal MCH</c:v>
                </c:pt>
                <c:pt idx="2">
                  <c:v>Enhanced MCH</c:v>
                </c:pt>
                <c:pt idx="3">
                  <c:v>Enhanced non-MCH</c:v>
                </c:pt>
              </c:strCache>
            </c:strRef>
          </c:cat>
          <c:val>
            <c:numRef>
              <c:f>'COUNCIL REPORT'!$N$234:$N$237</c:f>
              <c:numCache>
                <c:formatCode>0.00</c:formatCode>
                <c:ptCount val="4"/>
                <c:pt idx="0">
                  <c:v>1.6416235284286687</c:v>
                </c:pt>
                <c:pt idx="1">
                  <c:v>0.59557767546641971</c:v>
                </c:pt>
                <c:pt idx="2">
                  <c:v>1.0460458529622489</c:v>
                </c:pt>
                <c:pt idx="3">
                  <c:v>0</c:v>
                </c:pt>
              </c:numCache>
            </c:numRef>
          </c:val>
          <c:extLst>
            <c:ext xmlns:c16="http://schemas.microsoft.com/office/drawing/2014/chart" uri="{C3380CC4-5D6E-409C-BE32-E72D297353CC}">
              <c16:uniqueId val="{00000005-7E86-41D6-83A8-AF62D528CFA9}"/>
            </c:ext>
          </c:extLst>
        </c:ser>
        <c:ser>
          <c:idx val="7"/>
          <c:order val="13"/>
          <c:tx>
            <c:strRef>
              <c:f>'COUNCIL REPORT'!$Q$233</c:f>
              <c:strCache>
                <c:ptCount val="1"/>
                <c:pt idx="0">
                  <c:v>2031-32</c:v>
                </c:pt>
              </c:strCache>
            </c:strRef>
          </c:tx>
          <c:spPr>
            <a:pattFill prst="pct50">
              <a:fgClr>
                <a:srgbClr val="9D57A6"/>
              </a:fgClr>
              <a:bgClr>
                <a:srgbClr val="FFFFFF"/>
              </a:bgClr>
            </a:pattFill>
            <a:ln w="6350">
              <a:solidFill>
                <a:srgbClr val="9D57A6"/>
              </a:solidFill>
              <a:prstDash val="soli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'COUNCIL REPORT'!$B$234:$B$237</c:f>
              <c:strCache>
                <c:ptCount val="4"/>
                <c:pt idx="0">
                  <c:v>Workforce demand</c:v>
                </c:pt>
                <c:pt idx="1">
                  <c:v>Universal MCH</c:v>
                </c:pt>
                <c:pt idx="2">
                  <c:v>Enhanced MCH</c:v>
                </c:pt>
                <c:pt idx="3">
                  <c:v>Enhanced non-MCH</c:v>
                </c:pt>
              </c:strCache>
            </c:strRef>
          </c:cat>
          <c:val>
            <c:numRef>
              <c:f>'COUNCIL REPORT'!$Q$234:$Q$237</c:f>
              <c:numCache>
                <c:formatCode>0.00</c:formatCode>
                <c:ptCount val="4"/>
                <c:pt idx="0">
                  <c:v>1.6479128214881786</c:v>
                </c:pt>
                <c:pt idx="1">
                  <c:v>0.59782761173216048</c:v>
                </c:pt>
                <c:pt idx="2">
                  <c:v>1.050085209756018</c:v>
                </c:pt>
                <c:pt idx="3">
                  <c:v>0</c:v>
                </c:pt>
              </c:numCache>
            </c:numRef>
          </c:val>
          <c:extLst>
            <c:ext xmlns:c16="http://schemas.microsoft.com/office/drawing/2014/chart" uri="{C3380CC4-5D6E-409C-BE32-E72D297353CC}">
              <c16:uniqueId val="{00000008-7E86-41D6-83A8-AF62D528CFA9}"/>
            </c:ext>
          </c:extLst>
        </c:ser>
        <c:dLbls>
          <c:showLegendKey val="0"/>
          <c:showVal val="0"/>
          <c:showCatName val="0"/>
          <c:showSerName val="0"/>
          <c:showPercent val="0"/>
          <c:showBubbleSize val="0"/>
        </c:dLbls>
        <c:gapWidth val="50"/>
        <c:axId val="989859519"/>
        <c:axId val="31221439"/>
        <c:extLst>
          <c:ext xmlns:c15="http://schemas.microsoft.com/office/drawing/2012/chart" uri="{02D57815-91ED-43cb-92C2-25804820EDAC}">
            <c15:filteredBarSeries>
              <c15:ser>
                <c:idx val="8"/>
                <c:order val="1"/>
                <c:tx>
                  <c:strRef>
                    <c:extLst>
                      <c:ext uri="{02D57815-91ED-43cb-92C2-25804820EDAC}">
                        <c15:formulaRef>
                          <c15:sqref>'COUNCIL REPORT'!$E$233</c15:sqref>
                        </c15:formulaRef>
                      </c:ext>
                    </c:extLst>
                    <c:strCache>
                      <c:ptCount val="1"/>
                      <c:pt idx="0">
                        <c:v>2019-20</c:v>
                      </c:pt>
                    </c:strCache>
                  </c:strRef>
                </c:tx>
                <c:spPr>
                  <a:solidFill>
                    <a:schemeClr val="accent3">
                      <a:lumMod val="60000"/>
                    </a:schemeClr>
                  </a:solidFill>
                  <a:ln>
                    <a:noFill/>
                  </a:ln>
                  <a:effectLst/>
                </c:spPr>
                <c:invertIfNegative val="0"/>
                <c:cat>
                  <c:strRef>
                    <c:extLst>
                      <c:ex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c:ext uri="{02D57815-91ED-43cb-92C2-25804820EDAC}">
                        <c15:formulaRef>
                          <c15:sqref>'COUNCIL REPORT'!$E$234:$E$237</c15:sqref>
                        </c15:formulaRef>
                      </c:ext>
                    </c:extLst>
                    <c:numCache>
                      <c:formatCode>0.00</c:formatCode>
                      <c:ptCount val="4"/>
                      <c:pt idx="0">
                        <c:v>1.4360100119382886</c:v>
                      </c:pt>
                      <c:pt idx="1">
                        <c:v>0.60605502889336849</c:v>
                      </c:pt>
                      <c:pt idx="2">
                        <c:v>0.82995498304492021</c:v>
                      </c:pt>
                      <c:pt idx="3">
                        <c:v>0</c:v>
                      </c:pt>
                    </c:numCache>
                  </c:numRef>
                </c:val>
                <c:extLst>
                  <c:ext xmlns:c16="http://schemas.microsoft.com/office/drawing/2014/chart" uri="{C3380CC4-5D6E-409C-BE32-E72D297353CC}">
                    <c16:uniqueId val="{00000002-5B49-4327-A6CB-0846B1FFA8E2}"/>
                  </c:ext>
                </c:extLst>
              </c15:ser>
            </c15:filteredBarSeries>
            <c15:filteredBarSeries>
              <c15:ser>
                <c:idx val="9"/>
                <c:order val="2"/>
                <c:tx>
                  <c:strRef>
                    <c:extLst xmlns:c15="http://schemas.microsoft.com/office/drawing/2012/chart">
                      <c:ext xmlns:c15="http://schemas.microsoft.com/office/drawing/2012/chart" uri="{02D57815-91ED-43cb-92C2-25804820EDAC}">
                        <c15:formulaRef>
                          <c15:sqref>'COUNCIL REPORT'!$F$233</c15:sqref>
                        </c15:formulaRef>
                      </c:ext>
                    </c:extLst>
                    <c:strCache>
                      <c:ptCount val="1"/>
                      <c:pt idx="0">
                        <c:v>2020-21</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xmlns:c15="http://schemas.microsoft.com/office/drawing/2012/chart">
                      <c:ext xmlns:c15="http://schemas.microsoft.com/office/drawing/2012/chart" uri="{02D57815-91ED-43cb-92C2-25804820EDAC}">
                        <c15:formulaRef>
                          <c15:sqref>'COUNCIL REPORT'!$F$234:$F$237</c15:sqref>
                        </c15:formulaRef>
                      </c:ext>
                    </c:extLst>
                    <c:numCache>
                      <c:formatCode>0.00</c:formatCode>
                      <c:ptCount val="4"/>
                      <c:pt idx="0">
                        <c:v>1.6361725784545718</c:v>
                      </c:pt>
                      <c:pt idx="1">
                        <c:v>0.59484459411540636</c:v>
                      </c:pt>
                      <c:pt idx="2">
                        <c:v>1.0413279843391654</c:v>
                      </c:pt>
                      <c:pt idx="3">
                        <c:v>0</c:v>
                      </c:pt>
                    </c:numCache>
                  </c:numRef>
                </c:val>
                <c:extLst xmlns:c15="http://schemas.microsoft.com/office/drawing/2012/chart">
                  <c:ext xmlns:c16="http://schemas.microsoft.com/office/drawing/2014/chart" uri="{C3380CC4-5D6E-409C-BE32-E72D297353CC}">
                    <c16:uniqueId val="{00000008-5B49-4327-A6CB-0846B1FFA8E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'COUNCIL REPORT'!$G$233</c15:sqref>
                        </c15:formulaRef>
                      </c:ext>
                    </c:extLst>
                    <c:strCache>
                      <c:ptCount val="1"/>
                      <c:pt idx="0">
                        <c:v>2021-22</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xmlns:c15="http://schemas.microsoft.com/office/drawing/2012/chart">
                      <c:ext xmlns:c15="http://schemas.microsoft.com/office/drawing/2012/chart" uri="{02D57815-91ED-43cb-92C2-25804820EDAC}">
                        <c15:formulaRef>
                          <c15:sqref>'COUNCIL REPORT'!$G$234:$G$237</c15:sqref>
                        </c15:formulaRef>
                      </c:ext>
                    </c:extLst>
                    <c:numCache>
                      <c:formatCode>0.00</c:formatCode>
                      <c:ptCount val="4"/>
                      <c:pt idx="0">
                        <c:v>1.6331140772535546</c:v>
                      </c:pt>
                      <c:pt idx="1">
                        <c:v>0.592941198345318</c:v>
                      </c:pt>
                      <c:pt idx="2">
                        <c:v>1.0401728789082367</c:v>
                      </c:pt>
                      <c:pt idx="3">
                        <c:v>0</c:v>
                      </c:pt>
                    </c:numCache>
                  </c:numRef>
                </c:val>
                <c:extLst xmlns:c15="http://schemas.microsoft.com/office/drawing/2012/chart">
                  <c:ext xmlns:c16="http://schemas.microsoft.com/office/drawing/2014/chart" uri="{C3380CC4-5D6E-409C-BE32-E72D297353CC}">
                    <c16:uniqueId val="{00000003-5B49-4327-A6CB-0846B1FFA8E2}"/>
                  </c:ext>
                </c:extLst>
              </c15:ser>
            </c15:filteredBarSeries>
            <c15:filteredBarSeries>
              <c15:ser>
                <c:idx val="2"/>
                <c:order val="4"/>
                <c:tx>
                  <c:strRef>
                    <c:extLst xmlns:c15="http://schemas.microsoft.com/office/drawing/2012/chart">
                      <c:ext xmlns:c15="http://schemas.microsoft.com/office/drawing/2012/chart" uri="{02D57815-91ED-43cb-92C2-25804820EDAC}">
                        <c15:formulaRef>
                          <c15:sqref>'COUNCIL REPORT'!$H$233</c15:sqref>
                        </c15:formulaRef>
                      </c:ext>
                    </c:extLst>
                    <c:strCache>
                      <c:ptCount val="1"/>
                      <c:pt idx="0">
                        <c:v>2022-23</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xmlns:c15="http://schemas.microsoft.com/office/drawing/2012/chart">
                      <c:ext xmlns:c15="http://schemas.microsoft.com/office/drawing/2012/chart" uri="{02D57815-91ED-43cb-92C2-25804820EDAC}">
                        <c15:formulaRef>
                          <c15:sqref>'COUNCIL REPORT'!$H$234:$H$237</c15:sqref>
                        </c15:formulaRef>
                      </c:ext>
                    </c:extLst>
                    <c:numCache>
                      <c:formatCode>0.00</c:formatCode>
                      <c:ptCount val="4"/>
                      <c:pt idx="0">
                        <c:v>1.628814234123372</c:v>
                      </c:pt>
                      <c:pt idx="1">
                        <c:v>0.58999799808724496</c:v>
                      </c:pt>
                      <c:pt idx="2">
                        <c:v>1.038816236036127</c:v>
                      </c:pt>
                      <c:pt idx="3">
                        <c:v>0</c:v>
                      </c:pt>
                    </c:numCache>
                  </c:numRef>
                </c:val>
                <c:extLst xmlns:c15="http://schemas.microsoft.com/office/drawing/2012/chart">
                  <c:ext xmlns:c16="http://schemas.microsoft.com/office/drawing/2014/chart" uri="{C3380CC4-5D6E-409C-BE32-E72D297353CC}">
                    <c16:uniqueId val="{00000004-5B49-4327-A6CB-0846B1FFA8E2}"/>
                  </c:ext>
                </c:extLst>
              </c15:ser>
            </c15:filteredBarSeries>
            <c15:filteredBarSeries>
              <c15:ser>
                <c:idx val="10"/>
                <c:order val="6"/>
                <c:tx>
                  <c:strRef>
                    <c:extLst xmlns:c15="http://schemas.microsoft.com/office/drawing/2012/chart">
                      <c:ext xmlns:c15="http://schemas.microsoft.com/office/drawing/2012/chart" uri="{02D57815-91ED-43cb-92C2-25804820EDAC}">
                        <c15:formulaRef>
                          <c15:sqref>'COUNCIL REPORT'!$J$233</c15:sqref>
                        </c15:formulaRef>
                      </c:ext>
                    </c:extLst>
                    <c:strCache>
                      <c:ptCount val="1"/>
                      <c:pt idx="0">
                        <c:v>2024-25</c:v>
                      </c:pt>
                    </c:strCache>
                  </c:strRef>
                </c:tx>
                <c:spPr>
                  <a:solidFill>
                    <a:srgbClr val="A5A5A5"/>
                  </a:solidFill>
                  <a:ln w="6350">
                    <a:solidFill>
                      <a:srgbClr val="A5A5A5"/>
                    </a:solidFill>
                    <a:prstDash val="solid"/>
                  </a:ln>
                  <a:effectLst/>
                </c:spPr>
                <c:invertIfNegative val="0"/>
                <c:cat>
                  <c:strRef>
                    <c:extLst xmlns:c15="http://schemas.microsoft.com/office/drawing/2012/chart">
                      <c:ext xmlns:c15="http://schemas.microsoft.com/office/drawing/2012/char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xmlns:c15="http://schemas.microsoft.com/office/drawing/2012/chart">
                      <c:ext xmlns:c15="http://schemas.microsoft.com/office/drawing/2012/chart" uri="{02D57815-91ED-43cb-92C2-25804820EDAC}">
                        <c15:formulaRef>
                          <c15:sqref>'COUNCIL REPORT'!$J$234:$J$237</c15:sqref>
                        </c15:formulaRef>
                      </c:ext>
                    </c:extLst>
                    <c:numCache>
                      <c:formatCode>0.00</c:formatCode>
                      <c:ptCount val="4"/>
                      <c:pt idx="0">
                        <c:v>1.6345259881975656</c:v>
                      </c:pt>
                      <c:pt idx="1">
                        <c:v>0.59320631259190681</c:v>
                      </c:pt>
                      <c:pt idx="2">
                        <c:v>1.0413196756056586</c:v>
                      </c:pt>
                      <c:pt idx="3">
                        <c:v>0</c:v>
                      </c:pt>
                    </c:numCache>
                  </c:numRef>
                </c:val>
                <c:extLst xmlns:c15="http://schemas.microsoft.com/office/drawing/2012/chart">
                  <c:ext xmlns:c16="http://schemas.microsoft.com/office/drawing/2014/chart" uri="{C3380CC4-5D6E-409C-BE32-E72D297353CC}">
                    <c16:uniqueId val="{00000001-7E86-41D6-83A8-AF62D528CFA9}"/>
                  </c:ext>
                </c:extLst>
              </c15:ser>
            </c15:filteredBarSeries>
            <c15:filteredBarSeries>
              <c15:ser>
                <c:idx val="11"/>
                <c:order val="7"/>
                <c:tx>
                  <c:strRef>
                    <c:extLst xmlns:c15="http://schemas.microsoft.com/office/drawing/2012/chart">
                      <c:ext xmlns:c15="http://schemas.microsoft.com/office/drawing/2012/chart" uri="{02D57815-91ED-43cb-92C2-25804820EDAC}">
                        <c15:formulaRef>
                          <c15:sqref>'COUNCIL REPORT'!$K$233</c15:sqref>
                        </c15:formulaRef>
                      </c:ext>
                    </c:extLst>
                    <c:strCache>
                      <c:ptCount val="1"/>
                      <c:pt idx="0">
                        <c:v>2025-26</c:v>
                      </c:pt>
                    </c:strCache>
                  </c:strRef>
                </c:tx>
                <c:spPr>
                  <a:pattFill prst="pct50">
                    <a:fgClr>
                      <a:srgbClr val="9D57A6"/>
                    </a:fgClr>
                    <a:bgClr>
                      <a:srgbClr val="FFFFFF"/>
                    </a:bgClr>
                  </a:pattFill>
                  <a:ln w="6350">
                    <a:solidFill>
                      <a:srgbClr val="9D57A6"/>
                    </a:solidFill>
                    <a:prstDash val="solid"/>
                  </a:ln>
                  <a:effectLst/>
                </c:spPr>
                <c:invertIfNegative val="0"/>
                <c:cat>
                  <c:strRef>
                    <c:extLst xmlns:c15="http://schemas.microsoft.com/office/drawing/2012/chart">
                      <c:ext xmlns:c15="http://schemas.microsoft.com/office/drawing/2012/char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xmlns:c15="http://schemas.microsoft.com/office/drawing/2012/chart">
                      <c:ext xmlns:c15="http://schemas.microsoft.com/office/drawing/2012/chart" uri="{02D57815-91ED-43cb-92C2-25804820EDAC}">
                        <c15:formulaRef>
                          <c15:sqref>'COUNCIL REPORT'!$K$234:$K$237</c15:sqref>
                        </c15:formulaRef>
                      </c:ext>
                    </c:extLst>
                    <c:numCache>
                      <c:formatCode>0.00</c:formatCode>
                      <c:ptCount val="4"/>
                      <c:pt idx="0">
                        <c:v>1.6361144481402619</c:v>
                      </c:pt>
                      <c:pt idx="1">
                        <c:v>0.5936552854997158</c:v>
                      </c:pt>
                      <c:pt idx="2">
                        <c:v>1.0424591626405459</c:v>
                      </c:pt>
                      <c:pt idx="3">
                        <c:v>0</c:v>
                      </c:pt>
                    </c:numCache>
                  </c:numRef>
                </c:val>
                <c:extLst xmlns:c15="http://schemas.microsoft.com/office/drawing/2012/chart">
                  <c:ext xmlns:c16="http://schemas.microsoft.com/office/drawing/2014/chart" uri="{C3380CC4-5D6E-409C-BE32-E72D297353CC}">
                    <c16:uniqueId val="{00000002-7E86-41D6-83A8-AF62D528CFA9}"/>
                  </c:ext>
                </c:extLst>
              </c15:ser>
            </c15:filteredBarSeries>
            <c15:filteredBarSeries>
              <c15:ser>
                <c:idx val="12"/>
                <c:order val="8"/>
                <c:tx>
                  <c:strRef>
                    <c:extLst xmlns:c15="http://schemas.microsoft.com/office/drawing/2012/chart">
                      <c:ext xmlns:c15="http://schemas.microsoft.com/office/drawing/2012/chart" uri="{02D57815-91ED-43cb-92C2-25804820EDAC}">
                        <c15:formulaRef>
                          <c15:sqref>'COUNCIL REPORT'!$L$233</c15:sqref>
                        </c15:formulaRef>
                      </c:ext>
                    </c:extLst>
                    <c:strCache>
                      <c:ptCount val="1"/>
                      <c:pt idx="0">
                        <c:v>2026-27</c:v>
                      </c:pt>
                    </c:strCache>
                  </c:strRef>
                </c:tx>
                <c:spPr>
                  <a:pattFill prst="pct50">
                    <a:fgClr>
                      <a:srgbClr val="FFAF3B"/>
                    </a:fgClr>
                    <a:bgClr>
                      <a:srgbClr val="FFFFFF"/>
                    </a:bgClr>
                  </a:pattFill>
                  <a:ln w="6350">
                    <a:solidFill>
                      <a:srgbClr val="FFAF3B"/>
                    </a:solidFill>
                    <a:prstDash val="solid"/>
                  </a:ln>
                  <a:effectLst/>
                </c:spPr>
                <c:invertIfNegative val="0"/>
                <c:cat>
                  <c:strRef>
                    <c:extLst xmlns:c15="http://schemas.microsoft.com/office/drawing/2012/chart">
                      <c:ext xmlns:c15="http://schemas.microsoft.com/office/drawing/2012/char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xmlns:c15="http://schemas.microsoft.com/office/drawing/2012/chart">
                      <c:ext xmlns:c15="http://schemas.microsoft.com/office/drawing/2012/chart" uri="{02D57815-91ED-43cb-92C2-25804820EDAC}">
                        <c15:formulaRef>
                          <c15:sqref>'COUNCIL REPORT'!$L$234:$L$237</c15:sqref>
                        </c15:formulaRef>
                      </c:ext>
                    </c:extLst>
                    <c:numCache>
                      <c:formatCode>0.00</c:formatCode>
                      <c:ptCount val="4"/>
                      <c:pt idx="0">
                        <c:v>1.6378751660143116</c:v>
                      </c:pt>
                      <c:pt idx="1">
                        <c:v>0.59422410269242443</c:v>
                      </c:pt>
                      <c:pt idx="2">
                        <c:v>1.0436510633218872</c:v>
                      </c:pt>
                      <c:pt idx="3">
                        <c:v>0</c:v>
                      </c:pt>
                    </c:numCache>
                  </c:numRef>
                </c:val>
                <c:extLst xmlns:c15="http://schemas.microsoft.com/office/drawing/2012/chart">
                  <c:ext xmlns:c16="http://schemas.microsoft.com/office/drawing/2014/chart" uri="{C3380CC4-5D6E-409C-BE32-E72D297353CC}">
                    <c16:uniqueId val="{00000003-7E86-41D6-83A8-AF62D528CFA9}"/>
                  </c:ext>
                </c:extLst>
              </c15:ser>
            </c15:filteredBarSeries>
            <c15:filteredBarSeries>
              <c15:ser>
                <c:idx val="13"/>
                <c:order val="9"/>
                <c:tx>
                  <c:strRef>
                    <c:extLst xmlns:c15="http://schemas.microsoft.com/office/drawing/2012/chart">
                      <c:ext xmlns:c15="http://schemas.microsoft.com/office/drawing/2012/chart" uri="{02D57815-91ED-43cb-92C2-25804820EDAC}">
                        <c15:formulaRef>
                          <c15:sqref>'COUNCIL REPORT'!$M$233</c15:sqref>
                        </c15:formulaRef>
                      </c:ext>
                    </c:extLst>
                    <c:strCache>
                      <c:ptCount val="1"/>
                      <c:pt idx="0">
                        <c:v>2027-28</c:v>
                      </c:pt>
                    </c:strCache>
                  </c:strRef>
                </c:tx>
                <c:spPr>
                  <a:pattFill prst="pct50">
                    <a:fgClr>
                      <a:srgbClr val="A5A5A5"/>
                    </a:fgClr>
                    <a:bgClr>
                      <a:srgbClr val="FFFFFF"/>
                    </a:bgClr>
                  </a:pattFill>
                  <a:ln w="6350">
                    <a:solidFill>
                      <a:srgbClr val="A5A5A5"/>
                    </a:solidFill>
                    <a:prstDash val="solid"/>
                  </a:ln>
                  <a:effectLst/>
                </c:spPr>
                <c:invertIfNegative val="0"/>
                <c:cat>
                  <c:strRef>
                    <c:extLst xmlns:c15="http://schemas.microsoft.com/office/drawing/2012/chart">
                      <c:ext xmlns:c15="http://schemas.microsoft.com/office/drawing/2012/char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xmlns:c15="http://schemas.microsoft.com/office/drawing/2012/chart">
                      <c:ext xmlns:c15="http://schemas.microsoft.com/office/drawing/2012/chart" uri="{02D57815-91ED-43cb-92C2-25804820EDAC}">
                        <c15:formulaRef>
                          <c15:sqref>'COUNCIL REPORT'!$M$234:$M$237</c15:sqref>
                        </c15:formulaRef>
                      </c:ext>
                    </c:extLst>
                    <c:numCache>
                      <c:formatCode>0.00</c:formatCode>
                      <c:ptCount val="4"/>
                      <c:pt idx="0">
                        <c:v>1.639714753422856</c:v>
                      </c:pt>
                      <c:pt idx="1">
                        <c:v>0.59487177195704755</c:v>
                      </c:pt>
                      <c:pt idx="2">
                        <c:v>1.0448429814658085</c:v>
                      </c:pt>
                      <c:pt idx="3">
                        <c:v>0</c:v>
                      </c:pt>
                    </c:numCache>
                  </c:numRef>
                </c:val>
                <c:extLst xmlns:c15="http://schemas.microsoft.com/office/drawing/2012/chart">
                  <c:ext xmlns:c16="http://schemas.microsoft.com/office/drawing/2014/chart" uri="{C3380CC4-5D6E-409C-BE32-E72D297353CC}">
                    <c16:uniqueId val="{00000004-7E86-41D6-83A8-AF62D528CFA9}"/>
                  </c:ext>
                </c:extLst>
              </c15:ser>
            </c15:filteredBarSeries>
            <c15:filteredBarSeries>
              <c15:ser>
                <c:idx val="4"/>
                <c:order val="11"/>
                <c:tx>
                  <c:strRef>
                    <c:extLst xmlns:c15="http://schemas.microsoft.com/office/drawing/2012/chart">
                      <c:ext xmlns:c15="http://schemas.microsoft.com/office/drawing/2012/chart" uri="{02D57815-91ED-43cb-92C2-25804820EDAC}">
                        <c15:formulaRef>
                          <c15:sqref>'COUNCIL REPORT'!$O$233</c15:sqref>
                        </c15:formulaRef>
                      </c:ext>
                    </c:extLst>
                    <c:strCache>
                      <c:ptCount val="1"/>
                      <c:pt idx="0">
                        <c:v>2029-30</c:v>
                      </c:pt>
                    </c:strCache>
                  </c:strRef>
                </c:tx>
                <c:spPr>
                  <a:pattFill prst="dkDnDiag">
                    <a:fgClr>
                      <a:srgbClr val="FFAF3B"/>
                    </a:fgClr>
                    <a:bgClr>
                      <a:srgbClr val="FFFFFF"/>
                    </a:bgClr>
                  </a:pattFill>
                  <a:ln w="6350">
                    <a:solidFill>
                      <a:srgbClr val="FFAF3B"/>
                    </a:solidFill>
                    <a:prstDash val="solid"/>
                  </a:ln>
                  <a:effectLst/>
                </c:spPr>
                <c:invertIfNegative val="0"/>
                <c:cat>
                  <c:strRef>
                    <c:extLst xmlns:c15="http://schemas.microsoft.com/office/drawing/2012/chart">
                      <c:ext xmlns:c15="http://schemas.microsoft.com/office/drawing/2012/char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xmlns:c15="http://schemas.microsoft.com/office/drawing/2012/chart">
                      <c:ext xmlns:c15="http://schemas.microsoft.com/office/drawing/2012/chart" uri="{02D57815-91ED-43cb-92C2-25804820EDAC}">
                        <c15:formulaRef>
                          <c15:sqref>'COUNCIL REPORT'!$O$234:$O$237</c15:sqref>
                        </c15:formulaRef>
                      </c:ext>
                    </c:extLst>
                    <c:numCache>
                      <c:formatCode>0.00</c:formatCode>
                      <c:ptCount val="4"/>
                      <c:pt idx="0">
                        <c:v>1.6435936949720746</c:v>
                      </c:pt>
                      <c:pt idx="1">
                        <c:v>0.5963011568435681</c:v>
                      </c:pt>
                      <c:pt idx="2">
                        <c:v>1.0472925381285065</c:v>
                      </c:pt>
                      <c:pt idx="3">
                        <c:v>0</c:v>
                      </c:pt>
                    </c:numCache>
                  </c:numRef>
                </c:val>
                <c:extLst xmlns:c15="http://schemas.microsoft.com/office/drawing/2012/chart">
                  <c:ext xmlns:c16="http://schemas.microsoft.com/office/drawing/2014/chart" uri="{C3380CC4-5D6E-409C-BE32-E72D297353CC}">
                    <c16:uniqueId val="{00000006-7E86-41D6-83A8-AF62D528CFA9}"/>
                  </c:ext>
                </c:extLst>
              </c15:ser>
            </c15:filteredBarSeries>
            <c15:filteredBarSeries>
              <c15:ser>
                <c:idx val="5"/>
                <c:order val="12"/>
                <c:tx>
                  <c:strRef>
                    <c:extLst xmlns:c15="http://schemas.microsoft.com/office/drawing/2012/chart">
                      <c:ext xmlns:c15="http://schemas.microsoft.com/office/drawing/2012/chart" uri="{02D57815-91ED-43cb-92C2-25804820EDAC}">
                        <c15:formulaRef>
                          <c15:sqref>'COUNCIL REPORT'!$P$233</c15:sqref>
                        </c15:formulaRef>
                      </c:ext>
                    </c:extLst>
                    <c:strCache>
                      <c:ptCount val="1"/>
                      <c:pt idx="0">
                        <c:v>2030-31</c:v>
                      </c:pt>
                    </c:strCache>
                  </c:strRef>
                </c:tx>
                <c:spPr>
                  <a:pattFill prst="dkDnDiag">
                    <a:fgClr>
                      <a:srgbClr val="A5A5A5"/>
                    </a:fgClr>
                    <a:bgClr>
                      <a:srgbClr val="FFFFFF"/>
                    </a:bgClr>
                  </a:pattFill>
                  <a:ln w="6350">
                    <a:solidFill>
                      <a:srgbClr val="A5A5A5"/>
                    </a:solidFill>
                    <a:prstDash val="solid"/>
                  </a:ln>
                  <a:effectLst/>
                </c:spPr>
                <c:invertIfNegative val="0"/>
                <c:cat>
                  <c:strRef>
                    <c:extLst xmlns:c15="http://schemas.microsoft.com/office/drawing/2012/chart">
                      <c:ext xmlns:c15="http://schemas.microsoft.com/office/drawing/2012/chart" uri="{02D57815-91ED-43cb-92C2-25804820EDAC}">
                        <c15:formulaRef>
                          <c15:sqref>'COUNCIL REPORT'!$B$234:$B$237</c15:sqref>
                        </c15:formulaRef>
                      </c:ext>
                    </c:extLst>
                    <c:strCache>
                      <c:ptCount val="4"/>
                      <c:pt idx="0">
                        <c:v>Workforce demand</c:v>
                      </c:pt>
                      <c:pt idx="1">
                        <c:v>Universal MCH</c:v>
                      </c:pt>
                      <c:pt idx="2">
                        <c:v>Enhanced MCH</c:v>
                      </c:pt>
                      <c:pt idx="3">
                        <c:v>Enhanced non-MCH</c:v>
                      </c:pt>
                    </c:strCache>
                  </c:strRef>
                </c:cat>
                <c:val>
                  <c:numRef>
                    <c:extLst xmlns:c15="http://schemas.microsoft.com/office/drawing/2012/chart">
                      <c:ext xmlns:c15="http://schemas.microsoft.com/office/drawing/2012/chart" uri="{02D57815-91ED-43cb-92C2-25804820EDAC}">
                        <c15:formulaRef>
                          <c15:sqref>'COUNCIL REPORT'!$P$234:$P$237</c15:sqref>
                        </c15:formulaRef>
                      </c:ext>
                    </c:extLst>
                    <c:numCache>
                      <c:formatCode>0.00</c:formatCode>
                      <c:ptCount val="4"/>
                      <c:pt idx="0">
                        <c:v>1.6456877737592672</c:v>
                      </c:pt>
                      <c:pt idx="1">
                        <c:v>0.59705295771510714</c:v>
                      </c:pt>
                      <c:pt idx="2">
                        <c:v>1.0486348160441601</c:v>
                      </c:pt>
                      <c:pt idx="3">
                        <c:v>0</c:v>
                      </c:pt>
                    </c:numCache>
                  </c:numRef>
                </c:val>
                <c:extLst xmlns:c15="http://schemas.microsoft.com/office/drawing/2012/chart">
                  <c:ext xmlns:c16="http://schemas.microsoft.com/office/drawing/2014/chart" uri="{C3380CC4-5D6E-409C-BE32-E72D297353CC}">
                    <c16:uniqueId val="{00000007-7E86-41D6-83A8-AF62D528CFA9}"/>
                  </c:ext>
                </c:extLst>
              </c15:ser>
            </c15:filteredBarSeries>
          </c:ext>
        </c:extLst>
      </c:barChart>
      <c:catAx>
        <c:axId val="98985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31221439"/>
        <c:crosses val="autoZero"/>
        <c:auto val="1"/>
        <c:lblAlgn val="ctr"/>
        <c:lblOffset val="100"/>
        <c:noMultiLvlLbl val="0"/>
      </c:catAx>
      <c:valAx>
        <c:axId val="31221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FTE requirements per year</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989859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'COUNCIL REPORT'!$A$114</c:f>
              <c:strCache>
                <c:ptCount val="1"/>
                <c:pt idx="0">
                  <c:v>Under 45 years</c:v>
                </c:pt>
              </c:strCache>
            </c:strRef>
          </c:tx>
          <c:spPr>
            <a:solidFill>
              <a:srgbClr val="9D57A6"/>
            </a:solidFill>
            <a:ln w="6350">
              <a:solidFill>
                <a:srgbClr val="9D57A6"/>
              </a:solidFill>
              <a:prstDash val="solid"/>
            </a:ln>
            <a:effectLst/>
          </c:spPr>
          <c:invertIfNegative val="0"/>
          <c:cat>
            <c:strRef>
              <c:f>'COUNCIL REPORT'!$C$125:$E$125</c:f>
              <c:strCache>
                <c:ptCount val="3"/>
                <c:pt idx="0">
                  <c:v>Statewide data</c:v>
                </c:pt>
                <c:pt idx="1">
                  <c:v>Council (DHHS data)</c:v>
                </c:pt>
                <c:pt idx="2">
                  <c:v>User specific data</c:v>
                </c:pt>
              </c:strCache>
            </c:strRef>
          </c:cat>
          <c:val>
            <c:numRef>
              <c:f>'COUNCIL REPORT'!$C$114:$E$114</c:f>
              <c:numCache>
                <c:formatCode>0%</c:formatCode>
                <c:ptCount val="3"/>
                <c:pt idx="0">
                  <c:v>0.21844660194174756</c:v>
                </c:pt>
                <c:pt idx="1">
                  <c:v>0.5</c:v>
                </c:pt>
                <c:pt idx="2">
                  <c:v>0</c:v>
                </c:pt>
              </c:numCache>
            </c:numRef>
          </c:val>
          <c:extLst>
            <c:ext xmlns:c16="http://schemas.microsoft.com/office/drawing/2014/chart" uri="{C3380CC4-5D6E-409C-BE32-E72D297353CC}">
              <c16:uniqueId val="{00000000-F79F-4C66-96FA-B8B4E2763115}"/>
            </c:ext>
          </c:extLst>
        </c:ser>
        <c:ser>
          <c:idx val="1"/>
          <c:order val="1"/>
          <c:tx>
            <c:strRef>
              <c:f>'COUNCIL REPORT'!$A$115</c:f>
              <c:strCache>
                <c:ptCount val="1"/>
                <c:pt idx="0">
                  <c:v>45-50 years</c:v>
                </c:pt>
              </c:strCache>
            </c:strRef>
          </c:tx>
          <c:spPr>
            <a:solidFill>
              <a:srgbClr val="FFAF3B"/>
            </a:solidFill>
            <a:ln w="6350">
              <a:solidFill>
                <a:srgbClr val="FFAF3B"/>
              </a:solidFill>
              <a:prstDash val="solid"/>
            </a:ln>
            <a:effectLst/>
          </c:spPr>
          <c:invertIfNegative val="0"/>
          <c:cat>
            <c:strRef>
              <c:f>'COUNCIL REPORT'!$C$125:$E$125</c:f>
              <c:strCache>
                <c:ptCount val="3"/>
                <c:pt idx="0">
                  <c:v>Statewide data</c:v>
                </c:pt>
                <c:pt idx="1">
                  <c:v>Council (DHHS data)</c:v>
                </c:pt>
                <c:pt idx="2">
                  <c:v>User specific data</c:v>
                </c:pt>
              </c:strCache>
            </c:strRef>
          </c:cat>
          <c:val>
            <c:numRef>
              <c:f>'COUNCIL REPORT'!$C$115:$E$115</c:f>
              <c:numCache>
                <c:formatCode>0%</c:formatCode>
                <c:ptCount val="3"/>
                <c:pt idx="0">
                  <c:v>0.14077669902912621</c:v>
                </c:pt>
                <c:pt idx="1">
                  <c:v>0.5</c:v>
                </c:pt>
                <c:pt idx="2">
                  <c:v>0</c:v>
                </c:pt>
              </c:numCache>
            </c:numRef>
          </c:val>
          <c:extLst>
            <c:ext xmlns:c16="http://schemas.microsoft.com/office/drawing/2014/chart" uri="{C3380CC4-5D6E-409C-BE32-E72D297353CC}">
              <c16:uniqueId val="{00000001-F79F-4C66-96FA-B8B4E2763115}"/>
            </c:ext>
          </c:extLst>
        </c:ser>
        <c:ser>
          <c:idx val="2"/>
          <c:order val="2"/>
          <c:tx>
            <c:strRef>
              <c:f>'COUNCIL REPORT'!$A$116</c:f>
              <c:strCache>
                <c:ptCount val="1"/>
                <c:pt idx="0">
                  <c:v>51-55 years</c:v>
                </c:pt>
              </c:strCache>
            </c:strRef>
          </c:tx>
          <c:spPr>
            <a:solidFill>
              <a:srgbClr val="A5A5A5"/>
            </a:solidFill>
            <a:ln w="6350">
              <a:solidFill>
                <a:srgbClr val="A5A5A5"/>
              </a:solidFill>
              <a:prstDash val="solid"/>
            </a:ln>
            <a:effectLst/>
          </c:spPr>
          <c:invertIfNegative val="0"/>
          <c:cat>
            <c:strRef>
              <c:f>'COUNCIL REPORT'!$C$125:$E$125</c:f>
              <c:strCache>
                <c:ptCount val="3"/>
                <c:pt idx="0">
                  <c:v>Statewide data</c:v>
                </c:pt>
                <c:pt idx="1">
                  <c:v>Council (DHHS data)</c:v>
                </c:pt>
                <c:pt idx="2">
                  <c:v>User specific data</c:v>
                </c:pt>
              </c:strCache>
            </c:strRef>
          </c:cat>
          <c:val>
            <c:numRef>
              <c:f>'COUNCIL REPORT'!$C$116:$E$116</c:f>
              <c:numCache>
                <c:formatCode>0%</c:formatCode>
                <c:ptCount val="3"/>
                <c:pt idx="0">
                  <c:v>0.20776699029126214</c:v>
                </c:pt>
                <c:pt idx="1">
                  <c:v>0</c:v>
                </c:pt>
                <c:pt idx="2">
                  <c:v>0</c:v>
                </c:pt>
              </c:numCache>
            </c:numRef>
          </c:val>
          <c:extLst>
            <c:ext xmlns:c16="http://schemas.microsoft.com/office/drawing/2014/chart" uri="{C3380CC4-5D6E-409C-BE32-E72D297353CC}">
              <c16:uniqueId val="{00000002-F79F-4C66-96FA-B8B4E2763115}"/>
            </c:ext>
          </c:extLst>
        </c:ser>
        <c:ser>
          <c:idx val="3"/>
          <c:order val="3"/>
          <c:tx>
            <c:strRef>
              <c:f>'COUNCIL REPORT'!$A$117</c:f>
              <c:strCache>
                <c:ptCount val="1"/>
                <c:pt idx="0">
                  <c:v>56-60 years</c:v>
                </c:pt>
              </c:strCache>
            </c:strRef>
          </c:tx>
          <c:spPr>
            <a:pattFill prst="pct50">
              <a:fgClr>
                <a:srgbClr val="9D57A6"/>
              </a:fgClr>
              <a:bgClr>
                <a:srgbClr val="FFFFFF"/>
              </a:bgClr>
            </a:pattFill>
            <a:ln w="6350">
              <a:solidFill>
                <a:srgbClr val="9D57A6"/>
              </a:solidFill>
              <a:prstDash val="solid"/>
            </a:ln>
            <a:effectLst/>
          </c:spPr>
          <c:invertIfNegative val="0"/>
          <c:cat>
            <c:strRef>
              <c:f>'COUNCIL REPORT'!$C$125:$E$125</c:f>
              <c:strCache>
                <c:ptCount val="3"/>
                <c:pt idx="0">
                  <c:v>Statewide data</c:v>
                </c:pt>
                <c:pt idx="1">
                  <c:v>Council (DHHS data)</c:v>
                </c:pt>
                <c:pt idx="2">
                  <c:v>User specific data</c:v>
                </c:pt>
              </c:strCache>
            </c:strRef>
          </c:cat>
          <c:val>
            <c:numRef>
              <c:f>'COUNCIL REPORT'!$C$117:$E$117</c:f>
              <c:numCache>
                <c:formatCode>0%</c:formatCode>
                <c:ptCount val="3"/>
                <c:pt idx="0">
                  <c:v>0.21067961165048543</c:v>
                </c:pt>
                <c:pt idx="1">
                  <c:v>0</c:v>
                </c:pt>
                <c:pt idx="2">
                  <c:v>0</c:v>
                </c:pt>
              </c:numCache>
            </c:numRef>
          </c:val>
          <c:extLst>
            <c:ext xmlns:c16="http://schemas.microsoft.com/office/drawing/2014/chart" uri="{C3380CC4-5D6E-409C-BE32-E72D297353CC}">
              <c16:uniqueId val="{00000003-F79F-4C66-96FA-B8B4E2763115}"/>
            </c:ext>
          </c:extLst>
        </c:ser>
        <c:ser>
          <c:idx val="4"/>
          <c:order val="4"/>
          <c:tx>
            <c:strRef>
              <c:f>'COUNCIL REPORT'!$A$118</c:f>
              <c:strCache>
                <c:ptCount val="1"/>
                <c:pt idx="0">
                  <c:v>Over 60 years</c:v>
                </c:pt>
              </c:strCache>
            </c:strRef>
          </c:tx>
          <c:spPr>
            <a:pattFill prst="pct50">
              <a:fgClr>
                <a:srgbClr val="FFAF3B"/>
              </a:fgClr>
              <a:bgClr>
                <a:srgbClr val="FFFFFF"/>
              </a:bgClr>
            </a:pattFill>
            <a:ln w="6350">
              <a:solidFill>
                <a:srgbClr val="FFAF3B"/>
              </a:solidFill>
              <a:prstDash val="solid"/>
            </a:ln>
            <a:effectLst/>
          </c:spPr>
          <c:invertIfNegative val="0"/>
          <c:cat>
            <c:strRef>
              <c:f>'COUNCIL REPORT'!$C$125:$E$125</c:f>
              <c:strCache>
                <c:ptCount val="3"/>
                <c:pt idx="0">
                  <c:v>Statewide data</c:v>
                </c:pt>
                <c:pt idx="1">
                  <c:v>Council (DHHS data)</c:v>
                </c:pt>
                <c:pt idx="2">
                  <c:v>User specific data</c:v>
                </c:pt>
              </c:strCache>
            </c:strRef>
          </c:cat>
          <c:val>
            <c:numRef>
              <c:f>'COUNCIL REPORT'!$C$118:$E$118</c:f>
              <c:numCache>
                <c:formatCode>0%</c:formatCode>
                <c:ptCount val="3"/>
                <c:pt idx="0">
                  <c:v>0.22233009708737864</c:v>
                </c:pt>
                <c:pt idx="1">
                  <c:v>0</c:v>
                </c:pt>
                <c:pt idx="2">
                  <c:v>0</c:v>
                </c:pt>
              </c:numCache>
            </c:numRef>
          </c:val>
          <c:extLst>
            <c:ext xmlns:c16="http://schemas.microsoft.com/office/drawing/2014/chart" uri="{C3380CC4-5D6E-409C-BE32-E72D297353CC}">
              <c16:uniqueId val="{00000004-F79F-4C66-96FA-B8B4E2763115}"/>
            </c:ext>
          </c:extLst>
        </c:ser>
        <c:dLbls>
          <c:showLegendKey val="0"/>
          <c:showVal val="0"/>
          <c:showCatName val="0"/>
          <c:showSerName val="0"/>
          <c:showPercent val="0"/>
          <c:showBubbleSize val="0"/>
        </c:dLbls>
        <c:gapWidth val="63"/>
        <c:overlap val="100"/>
        <c:axId val="2038341503"/>
        <c:axId val="588647375"/>
      </c:barChart>
      <c:catAx>
        <c:axId val="203834150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588647375"/>
        <c:crosses val="autoZero"/>
        <c:auto val="1"/>
        <c:lblAlgn val="ctr"/>
        <c:lblOffset val="100"/>
        <c:noMultiLvlLbl val="0"/>
      </c:catAx>
      <c:valAx>
        <c:axId val="588647375"/>
        <c:scaling>
          <c:orientation val="minMax"/>
        </c:scaling>
        <c:delete val="1"/>
        <c:axPos val="t"/>
        <c:numFmt formatCode="0%" sourceLinked="1"/>
        <c:majorTickMark val="none"/>
        <c:minorTickMark val="none"/>
        <c:tickLblPos val="low"/>
        <c:crossAx val="2038341503"/>
        <c:crosses val="autoZero"/>
        <c:crossBetween val="between"/>
      </c:valAx>
      <c:spPr>
        <a:noFill/>
        <a:ln>
          <a:noFill/>
        </a:ln>
        <a:effectLst/>
      </c:spPr>
    </c:plotArea>
    <c:legend>
      <c:legendPos val="b"/>
      <c:layout>
        <c:manualLayout>
          <c:xMode val="edge"/>
          <c:yMode val="edge"/>
          <c:x val="0.16096600265742486"/>
          <c:y val="0.87952650397912546"/>
          <c:w val="0.61900058457489504"/>
          <c:h val="5.559792828545442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'COUNCIL REPORT'!$C$92</c:f>
              <c:strCache>
                <c:ptCount val="1"/>
                <c:pt idx="0">
                  <c:v>2015-16</c:v>
                </c:pt>
              </c:strCache>
            </c:strRef>
          </c:tx>
          <c:spPr>
            <a:solidFill>
              <a:srgbClr val="9D57A6"/>
            </a:solidFill>
            <a:ln w="6350">
              <a:solidFill>
                <a:srgbClr val="9D57A6"/>
              </a:solidFill>
              <a:prstDash val="soli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'COUNCIL REPORT'!$A$93:$B$95</c:f>
              <c:multiLvlStrCache>
                <c:ptCount val="3"/>
                <c:lvl>
                  <c:pt idx="0">
                    <c:v>MCH Nurse</c:v>
                  </c:pt>
                  <c:pt idx="1">
                    <c:v>MCH Nurse</c:v>
                  </c:pt>
                  <c:pt idx="2">
                    <c:v>Non MCH Nurse</c:v>
                  </c:pt>
                </c:lvl>
                <c:lvl>
                  <c:pt idx="0">
                    <c:v>Universal</c:v>
                  </c:pt>
                  <c:pt idx="1">
                    <c:v>Enhanced MCH service</c:v>
                  </c:pt>
                  <c:pt idx="2">
                    <c:v>Enhanced MCH service</c:v>
                  </c:pt>
                </c:lvl>
              </c:multiLvlStrCache>
            </c:multiLvlStrRef>
          </c:cat>
          <c:val>
            <c:numRef>
              <c:f>'COUNCIL REPORT'!$C$93:$C$95</c:f>
              <c:numCache>
                <c:formatCode>0.00</c:formatCode>
                <c:ptCount val="3"/>
                <c:pt idx="0">
                  <c:v>0.7</c:v>
                </c:pt>
                <c:pt idx="1">
                  <c:v>0.4</c:v>
                </c:pt>
                <c:pt idx="2">
                  <c:v>0</c:v>
                </c:pt>
              </c:numCache>
            </c:numRef>
          </c:val>
          <c:extLst>
            <c:ext xmlns:c16="http://schemas.microsoft.com/office/drawing/2014/chart" uri="{C3380CC4-5D6E-409C-BE32-E72D297353CC}">
              <c16:uniqueId val="{00000000-54FB-49AC-B38E-55B16A070143}"/>
            </c:ext>
          </c:extLst>
        </c:ser>
        <c:ser>
          <c:idx val="1"/>
          <c:order val="1"/>
          <c:tx>
            <c:strRef>
              <c:f>'COUNCIL REPORT'!$D$92</c:f>
              <c:strCache>
                <c:ptCount val="1"/>
                <c:pt idx="0">
                  <c:v>2016-17</c:v>
                </c:pt>
              </c:strCache>
            </c:strRef>
          </c:tx>
          <c:spPr>
            <a:solidFill>
              <a:srgbClr val="FFAF3B"/>
            </a:solidFill>
            <a:ln w="6350">
              <a:solidFill>
                <a:srgbClr val="FFAF3B"/>
              </a:solidFill>
              <a:prstDash val="soli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'COUNCIL REPORT'!$A$93:$B$95</c:f>
              <c:multiLvlStrCache>
                <c:ptCount val="3"/>
                <c:lvl>
                  <c:pt idx="0">
                    <c:v>MCH Nurse</c:v>
                  </c:pt>
                  <c:pt idx="1">
                    <c:v>MCH Nurse</c:v>
                  </c:pt>
                  <c:pt idx="2">
                    <c:v>Non MCH Nurse</c:v>
                  </c:pt>
                </c:lvl>
                <c:lvl>
                  <c:pt idx="0">
                    <c:v>Universal</c:v>
                  </c:pt>
                  <c:pt idx="1">
                    <c:v>Enhanced MCH service</c:v>
                  </c:pt>
                  <c:pt idx="2">
                    <c:v>Enhanced MCH service</c:v>
                  </c:pt>
                </c:lvl>
              </c:multiLvlStrCache>
            </c:multiLvlStrRef>
          </c:cat>
          <c:val>
            <c:numRef>
              <c:f>'COUNCIL REPORT'!$D$93:$D$95</c:f>
              <c:numCache>
                <c:formatCode>0.00</c:formatCode>
                <c:ptCount val="3"/>
                <c:pt idx="0">
                  <c:v>0.6</c:v>
                </c:pt>
                <c:pt idx="1">
                  <c:v>0.2</c:v>
                </c:pt>
                <c:pt idx="2">
                  <c:v>0</c:v>
                </c:pt>
              </c:numCache>
            </c:numRef>
          </c:val>
          <c:extLst>
            <c:ext xmlns:c16="http://schemas.microsoft.com/office/drawing/2014/chart" uri="{C3380CC4-5D6E-409C-BE32-E72D297353CC}">
              <c16:uniqueId val="{00000001-54FB-49AC-B38E-55B16A070143}"/>
            </c:ext>
          </c:extLst>
        </c:ser>
        <c:ser>
          <c:idx val="2"/>
          <c:order val="2"/>
          <c:tx>
            <c:strRef>
              <c:f>'COUNCIL REPORT'!$E$92</c:f>
              <c:strCache>
                <c:ptCount val="1"/>
                <c:pt idx="0">
                  <c:v>2017-18</c:v>
                </c:pt>
              </c:strCache>
            </c:strRef>
          </c:tx>
          <c:spPr>
            <a:solidFill>
              <a:srgbClr val="A5A5A5"/>
            </a:solidFill>
            <a:ln w="6350">
              <a:solidFill>
                <a:srgbClr val="A5A5A5"/>
              </a:solidFill>
              <a:prstDash val="soli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'COUNCIL REPORT'!$A$93:$B$95</c:f>
              <c:multiLvlStrCache>
                <c:ptCount val="3"/>
                <c:lvl>
                  <c:pt idx="0">
                    <c:v>MCH Nurse</c:v>
                  </c:pt>
                  <c:pt idx="1">
                    <c:v>MCH Nurse</c:v>
                  </c:pt>
                  <c:pt idx="2">
                    <c:v>Non MCH Nurse</c:v>
                  </c:pt>
                </c:lvl>
                <c:lvl>
                  <c:pt idx="0">
                    <c:v>Universal</c:v>
                  </c:pt>
                  <c:pt idx="1">
                    <c:v>Enhanced MCH service</c:v>
                  </c:pt>
                  <c:pt idx="2">
                    <c:v>Enhanced MCH service</c:v>
                  </c:pt>
                </c:lvl>
              </c:multiLvlStrCache>
            </c:multiLvlStrRef>
          </c:cat>
          <c:val>
            <c:numRef>
              <c:f>'COUNCIL REPORT'!$E$93:$E$95</c:f>
              <c:numCache>
                <c:formatCode>0.00</c:formatCode>
                <c:ptCount val="3"/>
                <c:pt idx="0">
                  <c:v>0.8</c:v>
                </c:pt>
                <c:pt idx="1">
                  <c:v>0.4</c:v>
                </c:pt>
                <c:pt idx="2">
                  <c:v>0</c:v>
                </c:pt>
              </c:numCache>
            </c:numRef>
          </c:val>
          <c:extLst>
            <c:ext xmlns:c16="http://schemas.microsoft.com/office/drawing/2014/chart" uri="{C3380CC4-5D6E-409C-BE32-E72D297353CC}">
              <c16:uniqueId val="{00000002-54FB-49AC-B38E-55B16A070143}"/>
            </c:ext>
          </c:extLst>
        </c:ser>
        <c:dLbls>
          <c:showLegendKey val="0"/>
          <c:showVal val="0"/>
          <c:showCatName val="0"/>
          <c:showSerName val="0"/>
          <c:showPercent val="0"/>
          <c:showBubbleSize val="0"/>
        </c:dLbls>
        <c:gapWidth val="219"/>
        <c:axId val="1351056288"/>
        <c:axId val="1397188352"/>
      </c:barChart>
      <c:catAx>
        <c:axId val="135105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397188352"/>
        <c:crosses val="autoZero"/>
        <c:auto val="1"/>
        <c:lblAlgn val="ctr"/>
        <c:lblOffset val="100"/>
        <c:noMultiLvlLbl val="0"/>
      </c:catAx>
      <c:valAx>
        <c:axId val="139718835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FTEs</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351056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 Data'!$E$8</c:f>
              <c:strCache>
                <c:ptCount val="1"/>
                <c:pt idx="0">
                  <c:v>Hidden base</c:v>
                </c:pt>
              </c:strCache>
            </c:strRef>
          </c:tx>
          <c:spPr>
            <a:noFill/>
            <a:ln w="6350">
              <a:noFill/>
              <a:prstDash val="solid"/>
            </a:ln>
            <a:effectLst/>
          </c:spPr>
          <c:cat>
            <c:strRef>
              <c:f>'Chart Data'!$D$9:$D$22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Data'!$E$9:$E$22</c:f>
              <c:numCache>
                <c:formatCode>0.00</c:formatCode>
                <c:ptCount val="14"/>
                <c:pt idx="0">
                  <c:v>1.1072052738051026</c:v>
                </c:pt>
                <c:pt idx="1">
                  <c:v>1.4360100119382886</c:v>
                </c:pt>
                <c:pt idx="2">
                  <c:v>1.6361725784545718</c:v>
                </c:pt>
                <c:pt idx="3">
                  <c:v>1.6331140772535548</c:v>
                </c:pt>
                <c:pt idx="4">
                  <c:v>1.628814234123372</c:v>
                </c:pt>
                <c:pt idx="5">
                  <c:v>1.6334328411326227</c:v>
                </c:pt>
                <c:pt idx="6">
                  <c:v>1.6345259881975656</c:v>
                </c:pt>
                <c:pt idx="7">
                  <c:v>1.6361144481402619</c:v>
                </c:pt>
                <c:pt idx="8">
                  <c:v>1.6378751660143116</c:v>
                </c:pt>
                <c:pt idx="9">
                  <c:v>1.639714753422856</c:v>
                </c:pt>
                <c:pt idx="10">
                  <c:v>1.6416235284286687</c:v>
                </c:pt>
                <c:pt idx="11">
                  <c:v>1.6435936949720751</c:v>
                </c:pt>
                <c:pt idx="12">
                  <c:v>1.6456877737592672</c:v>
                </c:pt>
                <c:pt idx="13">
                  <c:v>1.6479128214881784</c:v>
                </c:pt>
              </c:numCache>
            </c:numRef>
          </c:val>
          <c:extLst>
            <c:ext xmlns:c16="http://schemas.microsoft.com/office/drawing/2014/chart" uri="{C3380CC4-5D6E-409C-BE32-E72D297353CC}">
              <c16:uniqueId val="{00000000-850D-4945-B3AD-37AFC15931DB}"/>
            </c:ext>
          </c:extLst>
        </c:ser>
        <c:ser>
          <c:idx val="1"/>
          <c:order val="1"/>
          <c:tx>
            <c:strRef>
              <c:f>'Chart Data'!$F$8</c:f>
              <c:strCache>
                <c:ptCount val="1"/>
                <c:pt idx="0">
                  <c:v>Gap</c:v>
                </c:pt>
              </c:strCache>
            </c:strRef>
          </c:tx>
          <c:spPr>
            <a:pattFill prst="pct50">
              <a:fgClr>
                <a:srgbClr val="FFAF3B"/>
              </a:fgClr>
              <a:bgClr>
                <a:srgbClr val="FFFFFF"/>
              </a:bgClr>
            </a:pattFill>
            <a:ln w="6350">
              <a:solidFill>
                <a:srgbClr val="FFAF3B"/>
              </a:solidFill>
              <a:prstDash val="solid"/>
            </a:ln>
            <a:effectLst/>
          </c:spPr>
          <c:cat>
            <c:strRef>
              <c:f>'Chart Data'!$D$9:$D$22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Data'!$F$9:$F$22</c:f>
              <c:numCache>
                <c:formatCode>0.00</c:formatCode>
                <c:ptCount val="14"/>
                <c:pt idx="0">
                  <c:v>9.2794726194897592E-2</c:v>
                </c:pt>
                <c:pt idx="1">
                  <c:v>-0.23601001193828841</c:v>
                </c:pt>
                <c:pt idx="2">
                  <c:v>-0.43617257845457158</c:v>
                </c:pt>
                <c:pt idx="3">
                  <c:v>-0.43311407725355466</c:v>
                </c:pt>
                <c:pt idx="4">
                  <c:v>-0.42881423412337183</c:v>
                </c:pt>
                <c:pt idx="5">
                  <c:v>-0.43343284113262248</c:v>
                </c:pt>
                <c:pt idx="6">
                  <c:v>-0.43452598819756538</c:v>
                </c:pt>
                <c:pt idx="7">
                  <c:v>-0.43611444814026168</c:v>
                </c:pt>
                <c:pt idx="8">
                  <c:v>-0.43787516601431142</c:v>
                </c:pt>
                <c:pt idx="9">
                  <c:v>-0.43971475342285582</c:v>
                </c:pt>
                <c:pt idx="10">
                  <c:v>-0.44162352842866848</c:v>
                </c:pt>
                <c:pt idx="11">
                  <c:v>-0.4435936949720749</c:v>
                </c:pt>
                <c:pt idx="12">
                  <c:v>-0.44568777375926705</c:v>
                </c:pt>
                <c:pt idx="13">
                  <c:v>-0.44791282148817824</c:v>
                </c:pt>
              </c:numCache>
            </c:numRef>
          </c:val>
          <c:extLst>
            <c:ext xmlns:c16="http://schemas.microsoft.com/office/drawing/2014/chart" uri="{C3380CC4-5D6E-409C-BE32-E72D297353CC}">
              <c16:uniqueId val="{00000001-850D-4945-B3AD-37AFC15931DB}"/>
            </c:ext>
          </c:extLst>
        </c:ser>
        <c:dLbls>
          <c:showLegendKey val="0"/>
          <c:showVal val="0"/>
          <c:showCatName val="0"/>
          <c:showSerName val="0"/>
          <c:showPercent val="0"/>
          <c:showBubbleSize val="0"/>
        </c:dLbls>
        <c:axId val="1832963055"/>
        <c:axId val="1303505375"/>
      </c:areaChart>
      <c:lineChart>
        <c:grouping val="standard"/>
        <c:varyColors val="0"/>
        <c:ser>
          <c:idx val="2"/>
          <c:order val="2"/>
          <c:tx>
            <c:strRef>
              <c:f>'Chart Data'!$G$8</c:f>
              <c:strCache>
                <c:ptCount val="1"/>
                <c:pt idx="0">
                  <c:v>Supply</c:v>
                </c:pt>
              </c:strCache>
            </c:strRef>
          </c:tx>
          <c:spPr>
            <a:ln w="12700" cap="rnd" cmpd="sng" algn="ctr">
              <a:solidFill>
                <a:srgbClr val="9D57A6"/>
              </a:solidFill>
              <a:prstDash val="solid"/>
              <a:round/>
              <a:headEnd type="none" w="med" len="med"/>
              <a:tailEnd type="none" w="med" len="med"/>
            </a:ln>
            <a:effectLst/>
          </c:spPr>
          <c:marker>
            <c:symbol val="circle"/>
            <c:size val="5"/>
            <c:spPr>
              <a:solidFill>
                <a:srgbClr val="9D57A6"/>
              </a:solidFill>
              <a:ln w="12700">
                <a:solidFill>
                  <a:srgbClr val="9D57A6"/>
                </a:solidFill>
                <a:prstDash val="solid"/>
              </a:ln>
              <a:effectLst/>
            </c:spPr>
          </c:marker>
          <c:cat>
            <c:strRef>
              <c:f>'Chart Data'!$D$9:$D$22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Data'!$G$9:$G$22</c:f>
              <c:numCache>
                <c:formatCode>0.00</c:formatCode>
                <c:ptCount val="14"/>
                <c:pt idx="0">
                  <c:v>1.2000000000000002</c:v>
                </c:pt>
                <c:pt idx="1">
                  <c:v>1.2000000000000002</c:v>
                </c:pt>
                <c:pt idx="2">
                  <c:v>1.2000000000000002</c:v>
                </c:pt>
                <c:pt idx="3">
                  <c:v>1.2000000000000002</c:v>
                </c:pt>
                <c:pt idx="4">
                  <c:v>1.2000000000000002</c:v>
                </c:pt>
                <c:pt idx="5">
                  <c:v>1.2000000000000002</c:v>
                </c:pt>
                <c:pt idx="6">
                  <c:v>1.2000000000000002</c:v>
                </c:pt>
                <c:pt idx="7">
                  <c:v>1.2000000000000002</c:v>
                </c:pt>
                <c:pt idx="8">
                  <c:v>1.2000000000000002</c:v>
                </c:pt>
                <c:pt idx="9">
                  <c:v>1.2000000000000002</c:v>
                </c:pt>
                <c:pt idx="10">
                  <c:v>1.2000000000000002</c:v>
                </c:pt>
                <c:pt idx="11">
                  <c:v>1.2000000000000002</c:v>
                </c:pt>
                <c:pt idx="12">
                  <c:v>1.2000000000000002</c:v>
                </c:pt>
                <c:pt idx="13">
                  <c:v>1.2000000000000002</c:v>
                </c:pt>
              </c:numCache>
            </c:numRef>
          </c:val>
          <c:smooth val="0"/>
          <c:extLst>
            <c:ext xmlns:c16="http://schemas.microsoft.com/office/drawing/2014/chart" uri="{C3380CC4-5D6E-409C-BE32-E72D297353CC}">
              <c16:uniqueId val="{0000000E-850D-4945-B3AD-37AFC15931DB}"/>
            </c:ext>
          </c:extLst>
        </c:ser>
        <c:ser>
          <c:idx val="3"/>
          <c:order val="3"/>
          <c:tx>
            <c:strRef>
              <c:f>'Chart Data'!$H$8</c:f>
              <c:strCache>
                <c:ptCount val="1"/>
                <c:pt idx="0">
                  <c:v>Demand</c:v>
                </c:pt>
              </c:strCache>
            </c:strRef>
          </c:tx>
          <c:spPr>
            <a:ln w="12700" cap="rnd" cmpd="sng" algn="ctr">
              <a:solidFill>
                <a:srgbClr val="FFAF3B"/>
              </a:solidFill>
              <a:prstDash val="solid"/>
              <a:round/>
              <a:headEnd type="none" w="med" len="med"/>
              <a:tailEnd type="none" w="med" len="med"/>
            </a:ln>
            <a:effectLst/>
          </c:spPr>
          <c:marker>
            <c:symbol val="circle"/>
            <c:size val="5"/>
            <c:spPr>
              <a:solidFill>
                <a:srgbClr val="FFAF3B"/>
              </a:solidFill>
              <a:ln w="12700">
                <a:solidFill>
                  <a:srgbClr val="FFAF3B"/>
                </a:solidFill>
                <a:prstDash val="solid"/>
              </a:ln>
              <a:effectLst/>
            </c:spPr>
          </c:marker>
          <c:cat>
            <c:strRef>
              <c:f>'Chart Data'!$D$9:$D$22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Data'!$H$9:$H$22</c:f>
              <c:numCache>
                <c:formatCode>0.00</c:formatCode>
                <c:ptCount val="14"/>
                <c:pt idx="0">
                  <c:v>1.1072052738051026</c:v>
                </c:pt>
                <c:pt idx="1">
                  <c:v>1.4360100119382886</c:v>
                </c:pt>
                <c:pt idx="2">
                  <c:v>1.6361725784545718</c:v>
                </c:pt>
                <c:pt idx="3">
                  <c:v>1.6331140772535548</c:v>
                </c:pt>
                <c:pt idx="4">
                  <c:v>1.628814234123372</c:v>
                </c:pt>
                <c:pt idx="5">
                  <c:v>1.6334328411326227</c:v>
                </c:pt>
                <c:pt idx="6">
                  <c:v>1.6345259881975656</c:v>
                </c:pt>
                <c:pt idx="7">
                  <c:v>1.6361144481402619</c:v>
                </c:pt>
                <c:pt idx="8">
                  <c:v>1.6378751660143116</c:v>
                </c:pt>
                <c:pt idx="9">
                  <c:v>1.639714753422856</c:v>
                </c:pt>
                <c:pt idx="10">
                  <c:v>1.6416235284286687</c:v>
                </c:pt>
                <c:pt idx="11">
                  <c:v>1.6435936949720751</c:v>
                </c:pt>
                <c:pt idx="12">
                  <c:v>1.6456877737592672</c:v>
                </c:pt>
                <c:pt idx="13">
                  <c:v>1.6479128214881784</c:v>
                </c:pt>
              </c:numCache>
            </c:numRef>
          </c:val>
          <c:smooth val="0"/>
          <c:extLst>
            <c:ext xmlns:c16="http://schemas.microsoft.com/office/drawing/2014/chart" uri="{C3380CC4-5D6E-409C-BE32-E72D297353CC}">
              <c16:uniqueId val="{0000001B-850D-4945-B3AD-37AFC15931DB}"/>
            </c:ext>
          </c:extLst>
        </c:ser>
        <c:dLbls>
          <c:showLegendKey val="0"/>
          <c:showVal val="0"/>
          <c:showCatName val="0"/>
          <c:showSerName val="0"/>
          <c:showPercent val="0"/>
          <c:showBubbleSize val="0"/>
        </c:dLbls>
        <c:marker val="1"/>
        <c:smooth val="0"/>
        <c:axId val="1832963055"/>
        <c:axId val="1303505375"/>
      </c:lineChart>
      <c:catAx>
        <c:axId val="18329630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303505375"/>
        <c:crosses val="autoZero"/>
        <c:auto val="1"/>
        <c:lblAlgn val="ctr"/>
        <c:lblOffset val="100"/>
        <c:noMultiLvlLbl val="0"/>
      </c:catAx>
      <c:valAx>
        <c:axId val="130350537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Number of FTEs</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83296305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 Data'!$L$8</c:f>
              <c:strCache>
                <c:ptCount val="1"/>
                <c:pt idx="0">
                  <c:v>Hidden base</c:v>
                </c:pt>
              </c:strCache>
            </c:strRef>
          </c:tx>
          <c:spPr>
            <a:noFill/>
            <a:ln w="6350">
              <a:noFill/>
              <a:prstDash val="solid"/>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Data'!$L$9:$L$22</c:f>
              <c:numCache>
                <c:formatCode>0.00</c:formatCode>
                <c:ptCount val="14"/>
                <c:pt idx="0">
                  <c:v>6.2526727742320718</c:v>
                </c:pt>
                <c:pt idx="1">
                  <c:v>6.8970965415960448</c:v>
                </c:pt>
                <c:pt idx="2">
                  <c:v>7.4530859049501057</c:v>
                </c:pt>
                <c:pt idx="3">
                  <c:v>7.6298725011447139</c:v>
                </c:pt>
                <c:pt idx="4">
                  <c:v>7.8034311753631798</c:v>
                </c:pt>
                <c:pt idx="5">
                  <c:v>7.9692675556208705</c:v>
                </c:pt>
                <c:pt idx="6">
                  <c:v>8.0585564228926518</c:v>
                </c:pt>
                <c:pt idx="7">
                  <c:v>8.1463639302045454</c:v>
                </c:pt>
                <c:pt idx="8">
                  <c:v>8.2329709115896534</c:v>
                </c:pt>
                <c:pt idx="9">
                  <c:v>8.3181765356731585</c:v>
                </c:pt>
                <c:pt idx="10">
                  <c:v>8.4028380367103175</c:v>
                </c:pt>
                <c:pt idx="11">
                  <c:v>8.4873454480405695</c:v>
                </c:pt>
                <c:pt idx="12">
                  <c:v>8.5720222385135116</c:v>
                </c:pt>
                <c:pt idx="13">
                  <c:v>8.6568090683150718</c:v>
                </c:pt>
              </c:numCache>
            </c:numRef>
          </c:val>
          <c:extLst>
            <c:ext xmlns:c16="http://schemas.microsoft.com/office/drawing/2014/chart" uri="{C3380CC4-5D6E-409C-BE32-E72D297353CC}">
              <c16:uniqueId val="{00000000-AD94-46BF-A635-8E70C48DAA9E}"/>
            </c:ext>
          </c:extLst>
        </c:ser>
        <c:ser>
          <c:idx val="1"/>
          <c:order val="1"/>
          <c:tx>
            <c:strRef>
              <c:f>'Chart Data'!$M$8</c:f>
              <c:strCache>
                <c:ptCount val="1"/>
                <c:pt idx="0">
                  <c:v>Gap</c:v>
                </c:pt>
              </c:strCache>
            </c:strRef>
          </c:tx>
          <c:spPr>
            <a:pattFill prst="pct50">
              <a:fgClr>
                <a:srgbClr val="FFAF3B"/>
              </a:fgClr>
              <a:bgClr>
                <a:srgbClr val="FFFFFF"/>
              </a:bgClr>
            </a:pattFill>
            <a:ln w="6350">
              <a:solidFill>
                <a:srgbClr val="FFAF3B"/>
              </a:solidFill>
              <a:prstDash val="solid"/>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Data'!$M$9:$M$22</c:f>
              <c:numCache>
                <c:formatCode>0.00</c:formatCode>
                <c:ptCount val="14"/>
                <c:pt idx="0">
                  <c:v>-5.2672774232071617E-2</c:v>
                </c:pt>
                <c:pt idx="1">
                  <c:v>-0.69709654159604462</c:v>
                </c:pt>
                <c:pt idx="2">
                  <c:v>-1.2530859049501055</c:v>
                </c:pt>
                <c:pt idx="3">
                  <c:v>-1.4298725011447138</c:v>
                </c:pt>
                <c:pt idx="4">
                  <c:v>-1.6034311753631796</c:v>
                </c:pt>
                <c:pt idx="5">
                  <c:v>-1.7692675556208703</c:v>
                </c:pt>
                <c:pt idx="6">
                  <c:v>-1.8585564228926517</c:v>
                </c:pt>
                <c:pt idx="7">
                  <c:v>-1.9463639302045452</c:v>
                </c:pt>
                <c:pt idx="8">
                  <c:v>-2.0329709115896533</c:v>
                </c:pt>
                <c:pt idx="9">
                  <c:v>-2.1181765356731583</c:v>
                </c:pt>
                <c:pt idx="10">
                  <c:v>-2.2028380367103173</c:v>
                </c:pt>
                <c:pt idx="11">
                  <c:v>-2.2873454480405693</c:v>
                </c:pt>
                <c:pt idx="12">
                  <c:v>-2.3720222385135115</c:v>
                </c:pt>
                <c:pt idx="13">
                  <c:v>-2.4568090683150716</c:v>
                </c:pt>
              </c:numCache>
            </c:numRef>
          </c:val>
          <c:extLst>
            <c:ext xmlns:c16="http://schemas.microsoft.com/office/drawing/2014/chart" uri="{C3380CC4-5D6E-409C-BE32-E72D297353CC}">
              <c16:uniqueId val="{00000001-AD94-46BF-A635-8E70C48DAA9E}"/>
            </c:ext>
          </c:extLst>
        </c:ser>
        <c:dLbls>
          <c:showLegendKey val="0"/>
          <c:showVal val="0"/>
          <c:showCatName val="0"/>
          <c:showSerName val="0"/>
          <c:showPercent val="0"/>
          <c:showBubbleSize val="0"/>
        </c:dLbls>
        <c:axId val="1769651247"/>
        <c:axId val="1450632175"/>
      </c:areaChart>
      <c:lineChart>
        <c:grouping val="standard"/>
        <c:varyColors val="0"/>
        <c:ser>
          <c:idx val="2"/>
          <c:order val="2"/>
          <c:tx>
            <c:strRef>
              <c:f>'Chart Data'!$N$8</c:f>
              <c:strCache>
                <c:ptCount val="1"/>
                <c:pt idx="0">
                  <c:v>Supply</c:v>
                </c:pt>
              </c:strCache>
            </c:strRef>
          </c:tx>
          <c:spPr>
            <a:ln w="12700" cap="rnd" cmpd="sng" algn="ctr">
              <a:solidFill>
                <a:srgbClr val="9D57A6"/>
              </a:solidFill>
              <a:prstDash val="solid"/>
              <a:round/>
              <a:headEnd type="none" w="med" len="med"/>
              <a:tailEnd type="none" w="med" len="med"/>
            </a:ln>
            <a:effectLst/>
          </c:spPr>
          <c:marker>
            <c:symbol val="circle"/>
            <c:size val="5"/>
            <c:spPr>
              <a:solidFill>
                <a:srgbClr val="9D57A6"/>
              </a:solidFill>
              <a:ln w="12700">
                <a:solidFill>
                  <a:srgbClr val="9D57A6"/>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Data'!$N$9:$N$22</c:f>
              <c:numCache>
                <c:formatCode>0.00</c:formatCode>
                <c:ptCount val="14"/>
                <c:pt idx="0">
                  <c:v>6.2</c:v>
                </c:pt>
                <c:pt idx="1">
                  <c:v>6.2</c:v>
                </c:pt>
                <c:pt idx="2">
                  <c:v>6.2</c:v>
                </c:pt>
                <c:pt idx="3">
                  <c:v>6.2</c:v>
                </c:pt>
                <c:pt idx="4">
                  <c:v>6.2</c:v>
                </c:pt>
                <c:pt idx="5">
                  <c:v>6.2</c:v>
                </c:pt>
                <c:pt idx="6">
                  <c:v>6.2</c:v>
                </c:pt>
                <c:pt idx="7">
                  <c:v>6.2</c:v>
                </c:pt>
                <c:pt idx="8">
                  <c:v>6.2</c:v>
                </c:pt>
                <c:pt idx="9">
                  <c:v>6.2</c:v>
                </c:pt>
                <c:pt idx="10">
                  <c:v>6.2</c:v>
                </c:pt>
                <c:pt idx="11">
                  <c:v>6.2</c:v>
                </c:pt>
                <c:pt idx="12">
                  <c:v>6.2</c:v>
                </c:pt>
                <c:pt idx="13">
                  <c:v>6.2</c:v>
                </c:pt>
              </c:numCache>
            </c:numRef>
          </c:val>
          <c:smooth val="0"/>
          <c:extLst>
            <c:ext xmlns:c16="http://schemas.microsoft.com/office/drawing/2014/chart" uri="{C3380CC4-5D6E-409C-BE32-E72D297353CC}">
              <c16:uniqueId val="{00000002-AD94-46BF-A635-8E70C48DAA9E}"/>
            </c:ext>
          </c:extLst>
        </c:ser>
        <c:ser>
          <c:idx val="3"/>
          <c:order val="3"/>
          <c:tx>
            <c:strRef>
              <c:f>'Chart Data'!$O$8</c:f>
              <c:strCache>
                <c:ptCount val="1"/>
                <c:pt idx="0">
                  <c:v>Demand</c:v>
                </c:pt>
              </c:strCache>
            </c:strRef>
          </c:tx>
          <c:spPr>
            <a:ln w="12700" cap="rnd" cmpd="sng" algn="ctr">
              <a:solidFill>
                <a:srgbClr val="FFAF3B"/>
              </a:solidFill>
              <a:prstDash val="solid"/>
              <a:round/>
              <a:headEnd type="none" w="med" len="med"/>
              <a:tailEnd type="none" w="med" len="med"/>
            </a:ln>
            <a:effectLst/>
          </c:spPr>
          <c:marker>
            <c:symbol val="circle"/>
            <c:size val="5"/>
            <c:spPr>
              <a:solidFill>
                <a:srgbClr val="FFAF3B"/>
              </a:solidFill>
              <a:ln w="12700">
                <a:solidFill>
                  <a:srgbClr val="FFAF3B"/>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Data'!$O$9:$O$22</c:f>
              <c:numCache>
                <c:formatCode>0.00</c:formatCode>
                <c:ptCount val="14"/>
                <c:pt idx="0">
                  <c:v>6.2526727742320718</c:v>
                </c:pt>
                <c:pt idx="1">
                  <c:v>6.8970965415960448</c:v>
                </c:pt>
                <c:pt idx="2">
                  <c:v>7.4530859049501057</c:v>
                </c:pt>
                <c:pt idx="3">
                  <c:v>7.6298725011447139</c:v>
                </c:pt>
                <c:pt idx="4">
                  <c:v>7.8034311753631798</c:v>
                </c:pt>
                <c:pt idx="5">
                  <c:v>7.9692675556208705</c:v>
                </c:pt>
                <c:pt idx="6">
                  <c:v>8.0585564228926518</c:v>
                </c:pt>
                <c:pt idx="7">
                  <c:v>8.1463639302045454</c:v>
                </c:pt>
                <c:pt idx="8">
                  <c:v>8.2329709115896534</c:v>
                </c:pt>
                <c:pt idx="9">
                  <c:v>8.3181765356731585</c:v>
                </c:pt>
                <c:pt idx="10">
                  <c:v>8.4028380367103175</c:v>
                </c:pt>
                <c:pt idx="11">
                  <c:v>8.4873454480405695</c:v>
                </c:pt>
                <c:pt idx="12">
                  <c:v>8.5720222385135116</c:v>
                </c:pt>
                <c:pt idx="13">
                  <c:v>8.6568090683150718</c:v>
                </c:pt>
              </c:numCache>
            </c:numRef>
          </c:val>
          <c:smooth val="0"/>
          <c:extLst>
            <c:ext xmlns:c16="http://schemas.microsoft.com/office/drawing/2014/chart" uri="{C3380CC4-5D6E-409C-BE32-E72D297353CC}">
              <c16:uniqueId val="{00000003-AD94-46BF-A635-8E70C48DAA9E}"/>
            </c:ext>
          </c:extLst>
        </c:ser>
        <c:dLbls>
          <c:showLegendKey val="0"/>
          <c:showVal val="0"/>
          <c:showCatName val="0"/>
          <c:showSerName val="0"/>
          <c:showPercent val="0"/>
          <c:showBubbleSize val="0"/>
        </c:dLbls>
        <c:marker val="1"/>
        <c:smooth val="0"/>
        <c:axId val="1769651247"/>
        <c:axId val="1450632175"/>
      </c:lineChart>
      <c:catAx>
        <c:axId val="176965124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450632175"/>
        <c:crosses val="autoZero"/>
        <c:auto val="1"/>
        <c:lblAlgn val="ctr"/>
        <c:lblOffset val="100"/>
        <c:noMultiLvlLbl val="0"/>
      </c:catAx>
      <c:valAx>
        <c:axId val="145063217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Number of FTEs</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769651247"/>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 Data'!$S$8</c:f>
              <c:strCache>
                <c:ptCount val="1"/>
                <c:pt idx="0">
                  <c:v>Hidden base</c:v>
                </c:pt>
              </c:strCache>
            </c:strRef>
          </c:tx>
          <c:spPr>
            <a:noFill/>
            <a:ln w="6350">
              <a:noFill/>
              <a:prstDash val="solid"/>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Data'!$S$9:$S$22</c:f>
              <c:numCache>
                <c:formatCode>0.00</c:formatCode>
                <c:ptCount val="14"/>
                <c:pt idx="0">
                  <c:v>1.506925760558373</c:v>
                </c:pt>
                <c:pt idx="1">
                  <c:v>1.8756826628567707</c:v>
                </c:pt>
                <c:pt idx="2">
                  <c:v>2.1055113456424288</c:v>
                </c:pt>
                <c:pt idx="3">
                  <c:v>2.0911882236479173</c:v>
                </c:pt>
                <c:pt idx="4">
                  <c:v>2.0770746924119732</c:v>
                </c:pt>
                <c:pt idx="5">
                  <c:v>2.0917703332974034</c:v>
                </c:pt>
                <c:pt idx="6">
                  <c:v>2.0987827147853695</c:v>
                </c:pt>
                <c:pt idx="7">
                  <c:v>2.1063004960121039</c:v>
                </c:pt>
                <c:pt idx="8">
                  <c:v>2.1142018508664133</c:v>
                </c:pt>
                <c:pt idx="9">
                  <c:v>2.1224576726940834</c:v>
                </c:pt>
                <c:pt idx="10">
                  <c:v>2.1311788843596569</c:v>
                </c:pt>
                <c:pt idx="11">
                  <c:v>2.1403200631378865</c:v>
                </c:pt>
                <c:pt idx="12">
                  <c:v>2.1497434858457316</c:v>
                </c:pt>
                <c:pt idx="13">
                  <c:v>2.159430756828046</c:v>
                </c:pt>
              </c:numCache>
            </c:numRef>
          </c:val>
          <c:extLst>
            <c:ext xmlns:c16="http://schemas.microsoft.com/office/drawing/2014/chart" uri="{C3380CC4-5D6E-409C-BE32-E72D297353CC}">
              <c16:uniqueId val="{00000000-F56D-44C1-878E-413A71B73DB5}"/>
            </c:ext>
          </c:extLst>
        </c:ser>
        <c:ser>
          <c:idx val="1"/>
          <c:order val="1"/>
          <c:tx>
            <c:strRef>
              <c:f>'Chart Data'!$T$8</c:f>
              <c:strCache>
                <c:ptCount val="1"/>
                <c:pt idx="0">
                  <c:v>Gap</c:v>
                </c:pt>
              </c:strCache>
            </c:strRef>
          </c:tx>
          <c:spPr>
            <a:pattFill prst="pct50">
              <a:fgClr>
                <a:srgbClr val="FFAF3B"/>
              </a:fgClr>
              <a:bgClr>
                <a:srgbClr val="FFFFFF"/>
              </a:bgClr>
            </a:pattFill>
            <a:ln w="6350">
              <a:solidFill>
                <a:srgbClr val="FFAF3B"/>
              </a:solidFill>
              <a:prstDash val="solid"/>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Data'!$T$9:$T$22</c:f>
              <c:numCache>
                <c:formatCode>0.00</c:formatCode>
                <c:ptCount val="14"/>
                <c:pt idx="0">
                  <c:v>1.3074239441627E-2</c:v>
                </c:pt>
                <c:pt idx="1">
                  <c:v>-0.35568266285677064</c:v>
                </c:pt>
                <c:pt idx="2">
                  <c:v>-0.58551134564242879</c:v>
                </c:pt>
                <c:pt idx="3">
                  <c:v>-0.57118822364791733</c:v>
                </c:pt>
                <c:pt idx="4">
                  <c:v>-0.55707469241197316</c:v>
                </c:pt>
                <c:pt idx="5">
                  <c:v>-0.57177033329740334</c:v>
                </c:pt>
                <c:pt idx="6">
                  <c:v>-0.57878271478536947</c:v>
                </c:pt>
                <c:pt idx="7">
                  <c:v>-0.58630049601210388</c:v>
                </c:pt>
                <c:pt idx="8">
                  <c:v>-0.59420185086641331</c:v>
                </c:pt>
                <c:pt idx="9">
                  <c:v>-0.60245767269408335</c:v>
                </c:pt>
                <c:pt idx="10">
                  <c:v>-0.61117888435965684</c:v>
                </c:pt>
                <c:pt idx="11">
                  <c:v>-0.62032006313788646</c:v>
                </c:pt>
                <c:pt idx="12">
                  <c:v>-0.62974348584573159</c:v>
                </c:pt>
                <c:pt idx="13">
                  <c:v>-0.63943075682804595</c:v>
                </c:pt>
              </c:numCache>
            </c:numRef>
          </c:val>
          <c:extLst>
            <c:ext xmlns:c16="http://schemas.microsoft.com/office/drawing/2014/chart" uri="{C3380CC4-5D6E-409C-BE32-E72D297353CC}">
              <c16:uniqueId val="{00000001-F56D-44C1-878E-413A71B73DB5}"/>
            </c:ext>
          </c:extLst>
        </c:ser>
        <c:dLbls>
          <c:showLegendKey val="0"/>
          <c:showVal val="0"/>
          <c:showCatName val="0"/>
          <c:showSerName val="0"/>
          <c:showPercent val="0"/>
          <c:showBubbleSize val="0"/>
        </c:dLbls>
        <c:axId val="1769651247"/>
        <c:axId val="1450632175"/>
      </c:areaChart>
      <c:lineChart>
        <c:grouping val="standard"/>
        <c:varyColors val="0"/>
        <c:ser>
          <c:idx val="2"/>
          <c:order val="2"/>
          <c:tx>
            <c:strRef>
              <c:f>'Chart Data'!$U$8</c:f>
              <c:strCache>
                <c:ptCount val="1"/>
                <c:pt idx="0">
                  <c:v>Supply</c:v>
                </c:pt>
              </c:strCache>
            </c:strRef>
          </c:tx>
          <c:spPr>
            <a:ln w="12700" cap="rnd" cmpd="sng" algn="ctr">
              <a:solidFill>
                <a:srgbClr val="9D57A6"/>
              </a:solidFill>
              <a:prstDash val="solid"/>
              <a:round/>
              <a:headEnd type="none" w="med" len="med"/>
              <a:tailEnd type="none" w="med" len="med"/>
            </a:ln>
            <a:effectLst/>
          </c:spPr>
          <c:marker>
            <c:symbol val="circle"/>
            <c:size val="5"/>
            <c:spPr>
              <a:solidFill>
                <a:srgbClr val="9D57A6"/>
              </a:solidFill>
              <a:ln w="12700">
                <a:solidFill>
                  <a:srgbClr val="9D57A6"/>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Data'!$U$9:$U$22</c:f>
              <c:numCache>
                <c:formatCode>0.00</c:formatCode>
                <c:ptCount val="14"/>
                <c:pt idx="0">
                  <c:v>1.52</c:v>
                </c:pt>
                <c:pt idx="1">
                  <c:v>1.52</c:v>
                </c:pt>
                <c:pt idx="2">
                  <c:v>1.52</c:v>
                </c:pt>
                <c:pt idx="3">
                  <c:v>1.52</c:v>
                </c:pt>
                <c:pt idx="4">
                  <c:v>1.52</c:v>
                </c:pt>
                <c:pt idx="5">
                  <c:v>1.52</c:v>
                </c:pt>
                <c:pt idx="6">
                  <c:v>1.52</c:v>
                </c:pt>
                <c:pt idx="7">
                  <c:v>1.52</c:v>
                </c:pt>
                <c:pt idx="8">
                  <c:v>1.52</c:v>
                </c:pt>
                <c:pt idx="9">
                  <c:v>1.52</c:v>
                </c:pt>
                <c:pt idx="10">
                  <c:v>1.52</c:v>
                </c:pt>
                <c:pt idx="11">
                  <c:v>1.52</c:v>
                </c:pt>
                <c:pt idx="12">
                  <c:v>1.52</c:v>
                </c:pt>
                <c:pt idx="13">
                  <c:v>1.52</c:v>
                </c:pt>
              </c:numCache>
            </c:numRef>
          </c:val>
          <c:smooth val="0"/>
          <c:extLst>
            <c:ext xmlns:c16="http://schemas.microsoft.com/office/drawing/2014/chart" uri="{C3380CC4-5D6E-409C-BE32-E72D297353CC}">
              <c16:uniqueId val="{00000002-F56D-44C1-878E-413A71B73DB5}"/>
            </c:ext>
          </c:extLst>
        </c:ser>
        <c:ser>
          <c:idx val="3"/>
          <c:order val="3"/>
          <c:tx>
            <c:strRef>
              <c:f>'Chart Data'!$V$8</c:f>
              <c:strCache>
                <c:ptCount val="1"/>
                <c:pt idx="0">
                  <c:v>Demand</c:v>
                </c:pt>
              </c:strCache>
            </c:strRef>
          </c:tx>
          <c:spPr>
            <a:ln w="12700" cap="rnd" cmpd="sng" algn="ctr">
              <a:solidFill>
                <a:srgbClr val="FFAF3B"/>
              </a:solidFill>
              <a:prstDash val="solid"/>
              <a:round/>
              <a:headEnd type="none" w="med" len="med"/>
              <a:tailEnd type="none" w="med" len="med"/>
            </a:ln>
            <a:effectLst/>
          </c:spPr>
          <c:marker>
            <c:symbol val="circle"/>
            <c:size val="5"/>
            <c:spPr>
              <a:solidFill>
                <a:srgbClr val="FFAF3B"/>
              </a:solidFill>
              <a:ln w="12700">
                <a:solidFill>
                  <a:srgbClr val="FFAF3B"/>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Data'!$V$9:$V$22</c:f>
              <c:numCache>
                <c:formatCode>0.00</c:formatCode>
                <c:ptCount val="14"/>
                <c:pt idx="0">
                  <c:v>1.506925760558373</c:v>
                </c:pt>
                <c:pt idx="1">
                  <c:v>1.8756826628567707</c:v>
                </c:pt>
                <c:pt idx="2">
                  <c:v>2.1055113456424288</c:v>
                </c:pt>
                <c:pt idx="3">
                  <c:v>2.0911882236479173</c:v>
                </c:pt>
                <c:pt idx="4">
                  <c:v>2.0770746924119732</c:v>
                </c:pt>
                <c:pt idx="5">
                  <c:v>2.0917703332974034</c:v>
                </c:pt>
                <c:pt idx="6">
                  <c:v>2.0987827147853695</c:v>
                </c:pt>
                <c:pt idx="7">
                  <c:v>2.1063004960121039</c:v>
                </c:pt>
                <c:pt idx="8">
                  <c:v>2.1142018508664133</c:v>
                </c:pt>
                <c:pt idx="9">
                  <c:v>2.1224576726940834</c:v>
                </c:pt>
                <c:pt idx="10">
                  <c:v>2.1311788843596569</c:v>
                </c:pt>
                <c:pt idx="11">
                  <c:v>2.1403200631378865</c:v>
                </c:pt>
                <c:pt idx="12">
                  <c:v>2.1497434858457316</c:v>
                </c:pt>
                <c:pt idx="13">
                  <c:v>2.159430756828046</c:v>
                </c:pt>
              </c:numCache>
            </c:numRef>
          </c:val>
          <c:smooth val="0"/>
          <c:extLst>
            <c:ext xmlns:c16="http://schemas.microsoft.com/office/drawing/2014/chart" uri="{C3380CC4-5D6E-409C-BE32-E72D297353CC}">
              <c16:uniqueId val="{00000003-F56D-44C1-878E-413A71B73DB5}"/>
            </c:ext>
          </c:extLst>
        </c:ser>
        <c:dLbls>
          <c:showLegendKey val="0"/>
          <c:showVal val="0"/>
          <c:showCatName val="0"/>
          <c:showSerName val="0"/>
          <c:showPercent val="0"/>
          <c:showBubbleSize val="0"/>
        </c:dLbls>
        <c:marker val="1"/>
        <c:smooth val="0"/>
        <c:axId val="1769651247"/>
        <c:axId val="1450632175"/>
      </c:lineChart>
      <c:catAx>
        <c:axId val="176965124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450632175"/>
        <c:crosses val="autoZero"/>
        <c:auto val="1"/>
        <c:lblAlgn val="ctr"/>
        <c:lblOffset val="100"/>
        <c:noMultiLvlLbl val="0"/>
      </c:catAx>
      <c:valAx>
        <c:axId val="145063217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Number of FTEs</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769651247"/>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 Data'!$Z$8</c:f>
              <c:strCache>
                <c:ptCount val="1"/>
                <c:pt idx="0">
                  <c:v>Hidden base</c:v>
                </c:pt>
              </c:strCache>
            </c:strRef>
          </c:tx>
          <c:spPr>
            <a:noFill/>
            <a:ln w="25400">
              <a:noFill/>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Data'!$Z$9:$Z$22</c:f>
              <c:numCache>
                <c:formatCode>0.00</c:formatCode>
                <c:ptCount val="14"/>
                <c:pt idx="0">
                  <c:v>3.027594454633141</c:v>
                </c:pt>
                <c:pt idx="1">
                  <c:v>4.9047139582850914</c:v>
                </c:pt>
                <c:pt idx="2">
                  <c:v>5.9102726933692882</c:v>
                </c:pt>
                <c:pt idx="3">
                  <c:v>5.8817012079997237</c:v>
                </c:pt>
                <c:pt idx="4">
                  <c:v>5.8872533409253256</c:v>
                </c:pt>
                <c:pt idx="5">
                  <c:v>5.854422145258865</c:v>
                </c:pt>
                <c:pt idx="6">
                  <c:v>5.8368622381615758</c:v>
                </c:pt>
                <c:pt idx="7">
                  <c:v>5.8203078125433665</c:v>
                </c:pt>
                <c:pt idx="8">
                  <c:v>5.8042265581321537</c:v>
                </c:pt>
                <c:pt idx="9">
                  <c:v>5.7884023684071</c:v>
                </c:pt>
                <c:pt idx="10">
                  <c:v>5.772376592183095</c:v>
                </c:pt>
                <c:pt idx="11">
                  <c:v>5.7563025023539245</c:v>
                </c:pt>
                <c:pt idx="12">
                  <c:v>5.7407616012333014</c:v>
                </c:pt>
                <c:pt idx="13">
                  <c:v>5.7258073972843606</c:v>
                </c:pt>
              </c:numCache>
            </c:numRef>
          </c:val>
          <c:extLst>
            <c:ext xmlns:c16="http://schemas.microsoft.com/office/drawing/2014/chart" uri="{C3380CC4-5D6E-409C-BE32-E72D297353CC}">
              <c16:uniqueId val="{00000000-3EE5-4075-8FA7-AADB9B4E5828}"/>
            </c:ext>
          </c:extLst>
        </c:ser>
        <c:ser>
          <c:idx val="1"/>
          <c:order val="1"/>
          <c:tx>
            <c:strRef>
              <c:f>'Chart Data'!$AA$8</c:f>
              <c:strCache>
                <c:ptCount val="1"/>
                <c:pt idx="0">
                  <c:v>Gap</c:v>
                </c:pt>
              </c:strCache>
            </c:strRef>
          </c:tx>
          <c:spPr>
            <a:solidFill>
              <a:schemeClr val="accent2">
                <a:lumMod val="20000"/>
                <a:lumOff val="80000"/>
              </a:schemeClr>
            </a:solidFill>
            <a:ln w="25400">
              <a:noFill/>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Data'!$AA$9:$AA$22</c:f>
              <c:numCache>
                <c:formatCode>0.00</c:formatCode>
                <c:ptCount val="14"/>
                <c:pt idx="0">
                  <c:v>-2.2275944546331408</c:v>
                </c:pt>
                <c:pt idx="1">
                  <c:v>-4.1047139582850916</c:v>
                </c:pt>
                <c:pt idx="2">
                  <c:v>-5.1102726933692884</c:v>
                </c:pt>
                <c:pt idx="3">
                  <c:v>-5.0817012079997239</c:v>
                </c:pt>
                <c:pt idx="4">
                  <c:v>-5.0872533409253258</c:v>
                </c:pt>
                <c:pt idx="5">
                  <c:v>-5.0544221452588651</c:v>
                </c:pt>
                <c:pt idx="6">
                  <c:v>-5.036862238161576</c:v>
                </c:pt>
                <c:pt idx="7">
                  <c:v>-5.0203078125433667</c:v>
                </c:pt>
                <c:pt idx="8">
                  <c:v>-5.0042265581321539</c:v>
                </c:pt>
                <c:pt idx="9">
                  <c:v>-4.9884023684071002</c:v>
                </c:pt>
                <c:pt idx="10">
                  <c:v>-4.9723765921830951</c:v>
                </c:pt>
                <c:pt idx="11">
                  <c:v>-4.9563025023539247</c:v>
                </c:pt>
                <c:pt idx="12">
                  <c:v>-4.9407616012333015</c:v>
                </c:pt>
                <c:pt idx="13">
                  <c:v>-4.9258073972843608</c:v>
                </c:pt>
              </c:numCache>
            </c:numRef>
          </c:val>
          <c:extLst>
            <c:ext xmlns:c16="http://schemas.microsoft.com/office/drawing/2014/chart" uri="{C3380CC4-5D6E-409C-BE32-E72D297353CC}">
              <c16:uniqueId val="{00000001-3EE5-4075-8FA7-AADB9B4E5828}"/>
            </c:ext>
          </c:extLst>
        </c:ser>
        <c:dLbls>
          <c:showLegendKey val="0"/>
          <c:showVal val="0"/>
          <c:showCatName val="0"/>
          <c:showSerName val="0"/>
          <c:showPercent val="0"/>
          <c:showBubbleSize val="0"/>
        </c:dLbls>
        <c:axId val="1769651247"/>
        <c:axId val="1450632175"/>
      </c:areaChart>
      <c:lineChart>
        <c:grouping val="standard"/>
        <c:varyColors val="0"/>
        <c:ser>
          <c:idx val="2"/>
          <c:order val="2"/>
          <c:tx>
            <c:strRef>
              <c:f>'Chart Data'!$AB$8</c:f>
              <c:strCache>
                <c:ptCount val="1"/>
                <c:pt idx="0">
                  <c:v>Supply</c:v>
                </c:pt>
              </c:strCache>
            </c:strRef>
          </c:tx>
          <c:spPr>
            <a:ln w="28575" cap="rnd">
              <a:solidFill>
                <a:schemeClr val="tx2"/>
              </a:solidFill>
              <a:round/>
            </a:ln>
            <a:effectLst/>
          </c:spPr>
          <c:marker>
            <c:symbol val="circle"/>
            <c:size val="5"/>
            <c:spPr>
              <a:solidFill>
                <a:srgbClr val="9D57A6"/>
              </a:solidFill>
              <a:ln w="12700">
                <a:solidFill>
                  <a:srgbClr val="9D57A6"/>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Data'!$AB$9:$AB$22</c:f>
              <c:numCache>
                <c:formatCode>0.00</c:formatCode>
                <c:ptCount val="14"/>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numCache>
            </c:numRef>
          </c:val>
          <c:smooth val="0"/>
          <c:extLst>
            <c:ext xmlns:c16="http://schemas.microsoft.com/office/drawing/2014/chart" uri="{C3380CC4-5D6E-409C-BE32-E72D297353CC}">
              <c16:uniqueId val="{00000002-3EE5-4075-8FA7-AADB9B4E5828}"/>
            </c:ext>
          </c:extLst>
        </c:ser>
        <c:ser>
          <c:idx val="3"/>
          <c:order val="3"/>
          <c:tx>
            <c:strRef>
              <c:f>'Chart Data'!$AC$8</c:f>
              <c:strCache>
                <c:ptCount val="1"/>
                <c:pt idx="0">
                  <c:v>Demand</c:v>
                </c:pt>
              </c:strCache>
            </c:strRef>
          </c:tx>
          <c:spPr>
            <a:ln w="28575" cap="rnd">
              <a:solidFill>
                <a:schemeClr val="accent2"/>
              </a:solidFill>
              <a:round/>
            </a:ln>
            <a:effectLst/>
          </c:spPr>
          <c:marker>
            <c:symbol val="circle"/>
            <c:size val="5"/>
            <c:spPr>
              <a:solidFill>
                <a:srgbClr val="FFAF3B"/>
              </a:solidFill>
              <a:ln w="12700">
                <a:solidFill>
                  <a:srgbClr val="FFAF3B"/>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Data'!$AC$9:$AC$22</c:f>
              <c:numCache>
                <c:formatCode>0.00</c:formatCode>
                <c:ptCount val="14"/>
                <c:pt idx="0">
                  <c:v>3.027594454633141</c:v>
                </c:pt>
                <c:pt idx="1">
                  <c:v>4.9047139582850914</c:v>
                </c:pt>
                <c:pt idx="2">
                  <c:v>5.9102726933692882</c:v>
                </c:pt>
                <c:pt idx="3">
                  <c:v>5.8817012079997237</c:v>
                </c:pt>
                <c:pt idx="4">
                  <c:v>5.8872533409253256</c:v>
                </c:pt>
                <c:pt idx="5">
                  <c:v>5.854422145258865</c:v>
                </c:pt>
                <c:pt idx="6">
                  <c:v>5.8368622381615758</c:v>
                </c:pt>
                <c:pt idx="7">
                  <c:v>5.8203078125433665</c:v>
                </c:pt>
                <c:pt idx="8">
                  <c:v>5.8042265581321537</c:v>
                </c:pt>
                <c:pt idx="9">
                  <c:v>5.7884023684071</c:v>
                </c:pt>
                <c:pt idx="10">
                  <c:v>5.772376592183095</c:v>
                </c:pt>
                <c:pt idx="11">
                  <c:v>5.7563025023539245</c:v>
                </c:pt>
                <c:pt idx="12">
                  <c:v>5.7407616012333014</c:v>
                </c:pt>
                <c:pt idx="13">
                  <c:v>5.7258073972843606</c:v>
                </c:pt>
              </c:numCache>
            </c:numRef>
          </c:val>
          <c:smooth val="0"/>
          <c:extLst>
            <c:ext xmlns:c16="http://schemas.microsoft.com/office/drawing/2014/chart" uri="{C3380CC4-5D6E-409C-BE32-E72D297353CC}">
              <c16:uniqueId val="{00000003-3EE5-4075-8FA7-AADB9B4E5828}"/>
            </c:ext>
          </c:extLst>
        </c:ser>
        <c:dLbls>
          <c:showLegendKey val="0"/>
          <c:showVal val="0"/>
          <c:showCatName val="0"/>
          <c:showSerName val="0"/>
          <c:showPercent val="0"/>
          <c:showBubbleSize val="0"/>
        </c:dLbls>
        <c:marker val="1"/>
        <c:smooth val="0"/>
        <c:axId val="1769651247"/>
        <c:axId val="1450632175"/>
      </c:lineChart>
      <c:catAx>
        <c:axId val="176965124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450632175"/>
        <c:crosses val="autoZero"/>
        <c:auto val="1"/>
        <c:lblAlgn val="ctr"/>
        <c:lblOffset val="100"/>
        <c:noMultiLvlLbl val="0"/>
      </c:catAx>
      <c:valAx>
        <c:axId val="145063217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Number of FTEs</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769651247"/>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 Data'!$AG$8</c:f>
              <c:strCache>
                <c:ptCount val="1"/>
                <c:pt idx="0">
                  <c:v>Hidden base</c:v>
                </c:pt>
              </c:strCache>
            </c:strRef>
          </c:tx>
          <c:spPr>
            <a:noFill/>
            <a:ln w="25400">
              <a:noFill/>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Data'!$AG$9:$AG$22</c:f>
              <c:numCache>
                <c:formatCode>0.00</c:formatCode>
                <c:ptCount val="14"/>
                <c:pt idx="0">
                  <c:v>2.3802042137021977</c:v>
                </c:pt>
                <c:pt idx="1">
                  <c:v>2.6026926250586313</c:v>
                </c:pt>
                <c:pt idx="2">
                  <c:v>2.7556500862998998</c:v>
                </c:pt>
                <c:pt idx="3">
                  <c:v>2.7780155170732175</c:v>
                </c:pt>
                <c:pt idx="4">
                  <c:v>2.7786117257199376</c:v>
                </c:pt>
                <c:pt idx="5">
                  <c:v>2.795225605737031</c:v>
                </c:pt>
                <c:pt idx="6">
                  <c:v>2.8001055066132627</c:v>
                </c:pt>
                <c:pt idx="7">
                  <c:v>2.8054666970827746</c:v>
                </c:pt>
                <c:pt idx="8">
                  <c:v>2.8110477769988984</c:v>
                </c:pt>
                <c:pt idx="9">
                  <c:v>2.8168525144203223</c:v>
                </c:pt>
                <c:pt idx="10">
                  <c:v>2.8230194803194895</c:v>
                </c:pt>
                <c:pt idx="11">
                  <c:v>2.8295638944134556</c:v>
                </c:pt>
                <c:pt idx="12">
                  <c:v>2.836586245074475</c:v>
                </c:pt>
                <c:pt idx="13">
                  <c:v>2.8441092215202013</c:v>
                </c:pt>
              </c:numCache>
            </c:numRef>
          </c:val>
          <c:extLst>
            <c:ext xmlns:c16="http://schemas.microsoft.com/office/drawing/2014/chart" uri="{C3380CC4-5D6E-409C-BE32-E72D297353CC}">
              <c16:uniqueId val="{00000000-90DE-4D56-98C4-982D6CC99F18}"/>
            </c:ext>
          </c:extLst>
        </c:ser>
        <c:ser>
          <c:idx val="1"/>
          <c:order val="1"/>
          <c:tx>
            <c:strRef>
              <c:f>'Chart Data'!$AH$8</c:f>
              <c:strCache>
                <c:ptCount val="1"/>
                <c:pt idx="0">
                  <c:v>Gap</c:v>
                </c:pt>
              </c:strCache>
            </c:strRef>
          </c:tx>
          <c:spPr>
            <a:solidFill>
              <a:schemeClr val="accent2">
                <a:lumMod val="20000"/>
                <a:lumOff val="80000"/>
              </a:schemeClr>
            </a:solidFill>
            <a:ln w="25400">
              <a:noFill/>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Data'!$AH$9:$AH$22</c:f>
              <c:numCache>
                <c:formatCode>0.00</c:formatCode>
                <c:ptCount val="14"/>
                <c:pt idx="0">
                  <c:v>0.3697957862978023</c:v>
                </c:pt>
                <c:pt idx="1">
                  <c:v>0.1473073749413687</c:v>
                </c:pt>
                <c:pt idx="2">
                  <c:v>-5.6500862998998258E-3</c:v>
                </c:pt>
                <c:pt idx="3">
                  <c:v>-2.8015517073217477E-2</c:v>
                </c:pt>
                <c:pt idx="4">
                  <c:v>-2.8611725719937642E-2</c:v>
                </c:pt>
                <c:pt idx="5">
                  <c:v>-4.5225605737031049E-2</c:v>
                </c:pt>
                <c:pt idx="6">
                  <c:v>-5.010550661326274E-2</c:v>
                </c:pt>
                <c:pt idx="7">
                  <c:v>-5.546669708277463E-2</c:v>
                </c:pt>
                <c:pt idx="8">
                  <c:v>-6.1047776998898406E-2</c:v>
                </c:pt>
                <c:pt idx="9">
                  <c:v>-6.6852514420322251E-2</c:v>
                </c:pt>
                <c:pt idx="10">
                  <c:v>-7.301948031948946E-2</c:v>
                </c:pt>
                <c:pt idx="11">
                  <c:v>-7.9563894413455571E-2</c:v>
                </c:pt>
                <c:pt idx="12">
                  <c:v>-8.6586245074474988E-2</c:v>
                </c:pt>
                <c:pt idx="13">
                  <c:v>-9.4109221520201292E-2</c:v>
                </c:pt>
              </c:numCache>
            </c:numRef>
          </c:val>
          <c:extLst>
            <c:ext xmlns:c16="http://schemas.microsoft.com/office/drawing/2014/chart" uri="{C3380CC4-5D6E-409C-BE32-E72D297353CC}">
              <c16:uniqueId val="{00000001-90DE-4D56-98C4-982D6CC99F18}"/>
            </c:ext>
          </c:extLst>
        </c:ser>
        <c:dLbls>
          <c:showLegendKey val="0"/>
          <c:showVal val="0"/>
          <c:showCatName val="0"/>
          <c:showSerName val="0"/>
          <c:showPercent val="0"/>
          <c:showBubbleSize val="0"/>
        </c:dLbls>
        <c:axId val="1769651247"/>
        <c:axId val="1450632175"/>
      </c:areaChart>
      <c:lineChart>
        <c:grouping val="standard"/>
        <c:varyColors val="0"/>
        <c:ser>
          <c:idx val="2"/>
          <c:order val="2"/>
          <c:tx>
            <c:strRef>
              <c:f>'Chart Data'!$AI$8</c:f>
              <c:strCache>
                <c:ptCount val="1"/>
                <c:pt idx="0">
                  <c:v>Supply</c:v>
                </c:pt>
              </c:strCache>
            </c:strRef>
          </c:tx>
          <c:spPr>
            <a:ln w="28575" cap="rnd">
              <a:solidFill>
                <a:schemeClr val="tx2"/>
              </a:solidFill>
              <a:round/>
            </a:ln>
            <a:effectLst/>
          </c:spPr>
          <c:marker>
            <c:symbol val="circle"/>
            <c:size val="5"/>
            <c:spPr>
              <a:solidFill>
                <a:srgbClr val="9D57A6"/>
              </a:solidFill>
              <a:ln w="12700">
                <a:solidFill>
                  <a:srgbClr val="9D57A6"/>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Data'!$AI$9:$AI$22</c:f>
              <c:numCache>
                <c:formatCode>0.00</c:formatCode>
                <c:ptCount val="14"/>
                <c:pt idx="0">
                  <c:v>2.75</c:v>
                </c:pt>
                <c:pt idx="1">
                  <c:v>2.75</c:v>
                </c:pt>
                <c:pt idx="2">
                  <c:v>2.75</c:v>
                </c:pt>
                <c:pt idx="3">
                  <c:v>2.75</c:v>
                </c:pt>
                <c:pt idx="4">
                  <c:v>2.75</c:v>
                </c:pt>
                <c:pt idx="5">
                  <c:v>2.75</c:v>
                </c:pt>
                <c:pt idx="6">
                  <c:v>2.75</c:v>
                </c:pt>
                <c:pt idx="7">
                  <c:v>2.75</c:v>
                </c:pt>
                <c:pt idx="8">
                  <c:v>2.75</c:v>
                </c:pt>
                <c:pt idx="9">
                  <c:v>2.75</c:v>
                </c:pt>
                <c:pt idx="10">
                  <c:v>2.75</c:v>
                </c:pt>
                <c:pt idx="11">
                  <c:v>2.75</c:v>
                </c:pt>
                <c:pt idx="12">
                  <c:v>2.75</c:v>
                </c:pt>
                <c:pt idx="13">
                  <c:v>2.75</c:v>
                </c:pt>
              </c:numCache>
            </c:numRef>
          </c:val>
          <c:smooth val="0"/>
          <c:extLst>
            <c:ext xmlns:c16="http://schemas.microsoft.com/office/drawing/2014/chart" uri="{C3380CC4-5D6E-409C-BE32-E72D297353CC}">
              <c16:uniqueId val="{00000002-90DE-4D56-98C4-982D6CC99F18}"/>
            </c:ext>
          </c:extLst>
        </c:ser>
        <c:ser>
          <c:idx val="3"/>
          <c:order val="3"/>
          <c:tx>
            <c:strRef>
              <c:f>'Chart Data'!$AJ$8</c:f>
              <c:strCache>
                <c:ptCount val="1"/>
                <c:pt idx="0">
                  <c:v>Demand</c:v>
                </c:pt>
              </c:strCache>
            </c:strRef>
          </c:tx>
          <c:spPr>
            <a:ln w="28575" cap="rnd">
              <a:solidFill>
                <a:schemeClr val="accent2"/>
              </a:solidFill>
              <a:round/>
            </a:ln>
            <a:effectLst/>
          </c:spPr>
          <c:marker>
            <c:symbol val="circle"/>
            <c:size val="5"/>
            <c:spPr>
              <a:solidFill>
                <a:srgbClr val="FFAF3B"/>
              </a:solidFill>
              <a:ln w="12700">
                <a:solidFill>
                  <a:srgbClr val="FFAF3B"/>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Data'!$AJ$9:$AJ$22</c:f>
              <c:numCache>
                <c:formatCode>0.00</c:formatCode>
                <c:ptCount val="14"/>
                <c:pt idx="0">
                  <c:v>2.3802042137021977</c:v>
                </c:pt>
                <c:pt idx="1">
                  <c:v>2.6026926250586313</c:v>
                </c:pt>
                <c:pt idx="2">
                  <c:v>2.7556500862998998</c:v>
                </c:pt>
                <c:pt idx="3">
                  <c:v>2.7780155170732175</c:v>
                </c:pt>
                <c:pt idx="4">
                  <c:v>2.7786117257199376</c:v>
                </c:pt>
                <c:pt idx="5">
                  <c:v>2.795225605737031</c:v>
                </c:pt>
                <c:pt idx="6">
                  <c:v>2.8001055066132627</c:v>
                </c:pt>
                <c:pt idx="7">
                  <c:v>2.8054666970827746</c:v>
                </c:pt>
                <c:pt idx="8">
                  <c:v>2.8110477769988984</c:v>
                </c:pt>
                <c:pt idx="9">
                  <c:v>2.8168525144203223</c:v>
                </c:pt>
                <c:pt idx="10">
                  <c:v>2.8230194803194895</c:v>
                </c:pt>
                <c:pt idx="11">
                  <c:v>2.8295638944134556</c:v>
                </c:pt>
                <c:pt idx="12">
                  <c:v>2.836586245074475</c:v>
                </c:pt>
                <c:pt idx="13">
                  <c:v>2.8441092215202013</c:v>
                </c:pt>
              </c:numCache>
            </c:numRef>
          </c:val>
          <c:smooth val="0"/>
          <c:extLst>
            <c:ext xmlns:c16="http://schemas.microsoft.com/office/drawing/2014/chart" uri="{C3380CC4-5D6E-409C-BE32-E72D297353CC}">
              <c16:uniqueId val="{00000003-90DE-4D56-98C4-982D6CC99F18}"/>
            </c:ext>
          </c:extLst>
        </c:ser>
        <c:dLbls>
          <c:showLegendKey val="0"/>
          <c:showVal val="0"/>
          <c:showCatName val="0"/>
          <c:showSerName val="0"/>
          <c:showPercent val="0"/>
          <c:showBubbleSize val="0"/>
        </c:dLbls>
        <c:marker val="1"/>
        <c:smooth val="0"/>
        <c:axId val="1769651247"/>
        <c:axId val="1450632175"/>
      </c:lineChart>
      <c:catAx>
        <c:axId val="176965124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450632175"/>
        <c:crosses val="autoZero"/>
        <c:auto val="1"/>
        <c:lblAlgn val="ctr"/>
        <c:lblOffset val="100"/>
        <c:noMultiLvlLbl val="0"/>
      </c:catAx>
      <c:valAx>
        <c:axId val="145063217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Number of FTEs</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769651247"/>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 Data'!$AN$8</c:f>
              <c:strCache>
                <c:ptCount val="1"/>
                <c:pt idx="0">
                  <c:v>Hidden base</c:v>
                </c:pt>
              </c:strCache>
            </c:strRef>
          </c:tx>
          <c:spPr>
            <a:noFill/>
            <a:ln w="25400">
              <a:noFill/>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Data'!$AN$9:$AN$22</c:f>
              <c:numCache>
                <c:formatCode>0.00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00-4974-4BC9-9F8F-A07D10648508}"/>
            </c:ext>
          </c:extLst>
        </c:ser>
        <c:ser>
          <c:idx val="1"/>
          <c:order val="1"/>
          <c:tx>
            <c:strRef>
              <c:f>'Chart Data'!$AO$8</c:f>
              <c:strCache>
                <c:ptCount val="1"/>
                <c:pt idx="0">
                  <c:v>Gap</c:v>
                </c:pt>
              </c:strCache>
            </c:strRef>
          </c:tx>
          <c:spPr>
            <a:solidFill>
              <a:schemeClr val="accent2">
                <a:lumMod val="20000"/>
                <a:lumOff val="80000"/>
              </a:schemeClr>
            </a:solidFill>
            <a:ln w="25400">
              <a:noFill/>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Data'!$AO$9:$AO$22</c:f>
              <c:numCache>
                <c:formatCode>0.00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01-4974-4BC9-9F8F-A07D10648508}"/>
            </c:ext>
          </c:extLst>
        </c:ser>
        <c:dLbls>
          <c:showLegendKey val="0"/>
          <c:showVal val="0"/>
          <c:showCatName val="0"/>
          <c:showSerName val="0"/>
          <c:showPercent val="0"/>
          <c:showBubbleSize val="0"/>
        </c:dLbls>
        <c:axId val="1769651247"/>
        <c:axId val="1450632175"/>
      </c:areaChart>
      <c:lineChart>
        <c:grouping val="standard"/>
        <c:varyColors val="0"/>
        <c:ser>
          <c:idx val="2"/>
          <c:order val="2"/>
          <c:tx>
            <c:strRef>
              <c:f>'Chart Data'!$AP$8</c:f>
              <c:strCache>
                <c:ptCount val="1"/>
                <c:pt idx="0">
                  <c:v>Supply</c:v>
                </c:pt>
              </c:strCache>
            </c:strRef>
          </c:tx>
          <c:spPr>
            <a:ln w="28575" cap="rnd">
              <a:solidFill>
                <a:schemeClr val="tx2"/>
              </a:solidFill>
              <a:round/>
            </a:ln>
            <a:effectLst/>
          </c:spPr>
          <c:marker>
            <c:symbol val="circle"/>
            <c:size val="5"/>
            <c:spPr>
              <a:solidFill>
                <a:srgbClr val="9D57A6"/>
              </a:solidFill>
              <a:ln w="12700">
                <a:solidFill>
                  <a:srgbClr val="9D57A6"/>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Data'!$AP$9:$AP$22</c:f>
              <c:numCache>
                <c:formatCode>0.00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mooth val="0"/>
          <c:extLst>
            <c:ext xmlns:c16="http://schemas.microsoft.com/office/drawing/2014/chart" uri="{C3380CC4-5D6E-409C-BE32-E72D297353CC}">
              <c16:uniqueId val="{00000002-4974-4BC9-9F8F-A07D10648508}"/>
            </c:ext>
          </c:extLst>
        </c:ser>
        <c:ser>
          <c:idx val="3"/>
          <c:order val="3"/>
          <c:tx>
            <c:strRef>
              <c:f>'Chart Data'!$AQ$8</c:f>
              <c:strCache>
                <c:ptCount val="1"/>
                <c:pt idx="0">
                  <c:v>Demand</c:v>
                </c:pt>
              </c:strCache>
            </c:strRef>
          </c:tx>
          <c:spPr>
            <a:ln w="28575" cap="rnd">
              <a:solidFill>
                <a:schemeClr val="accent2"/>
              </a:solidFill>
              <a:round/>
            </a:ln>
            <a:effectLst/>
          </c:spPr>
          <c:marker>
            <c:symbol val="circle"/>
            <c:size val="5"/>
            <c:spPr>
              <a:solidFill>
                <a:srgbClr val="FFAF3B"/>
              </a:solidFill>
              <a:ln w="12700">
                <a:solidFill>
                  <a:srgbClr val="FFAF3B"/>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Data'!$AQ$9:$AQ$22</c:f>
              <c:numCache>
                <c:formatCode>0.00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mooth val="0"/>
          <c:extLst>
            <c:ext xmlns:c16="http://schemas.microsoft.com/office/drawing/2014/chart" uri="{C3380CC4-5D6E-409C-BE32-E72D297353CC}">
              <c16:uniqueId val="{00000003-4974-4BC9-9F8F-A07D10648508}"/>
            </c:ext>
          </c:extLst>
        </c:ser>
        <c:dLbls>
          <c:showLegendKey val="0"/>
          <c:showVal val="0"/>
          <c:showCatName val="0"/>
          <c:showSerName val="0"/>
          <c:showPercent val="0"/>
          <c:showBubbleSize val="0"/>
        </c:dLbls>
        <c:marker val="1"/>
        <c:smooth val="0"/>
        <c:axId val="1769651247"/>
        <c:axId val="1450632175"/>
      </c:lineChart>
      <c:catAx>
        <c:axId val="176965124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450632175"/>
        <c:crosses val="autoZero"/>
        <c:auto val="1"/>
        <c:lblAlgn val="ctr"/>
        <c:lblOffset val="100"/>
        <c:noMultiLvlLbl val="0"/>
      </c:catAx>
      <c:valAx>
        <c:axId val="145063217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Number of FTEs</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769651247"/>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 Data'!$AU$8</c:f>
              <c:strCache>
                <c:ptCount val="1"/>
                <c:pt idx="0">
                  <c:v>Hidden base</c:v>
                </c:pt>
              </c:strCache>
            </c:strRef>
          </c:tx>
          <c:spPr>
            <a:noFill/>
            <a:ln w="25400">
              <a:noFill/>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Data'!$AU$9:$AU$22</c:f>
              <c:numCache>
                <c:formatCode>0.00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00-2016-44E5-8B13-CF6B4FE4175F}"/>
            </c:ext>
          </c:extLst>
        </c:ser>
        <c:ser>
          <c:idx val="1"/>
          <c:order val="1"/>
          <c:tx>
            <c:strRef>
              <c:f>'Chart Data'!$AV$8</c:f>
              <c:strCache>
                <c:ptCount val="1"/>
                <c:pt idx="0">
                  <c:v>Gap</c:v>
                </c:pt>
              </c:strCache>
            </c:strRef>
          </c:tx>
          <c:spPr>
            <a:solidFill>
              <a:schemeClr val="accent2">
                <a:lumMod val="20000"/>
                <a:lumOff val="80000"/>
              </a:schemeClr>
            </a:solidFill>
            <a:ln w="25400">
              <a:noFill/>
            </a:ln>
            <a:effectLst/>
          </c:spP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Data'!$AV$9:$AV$22</c:f>
              <c:numCache>
                <c:formatCode>0.00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01-2016-44E5-8B13-CF6B4FE4175F}"/>
            </c:ext>
          </c:extLst>
        </c:ser>
        <c:dLbls>
          <c:showLegendKey val="0"/>
          <c:showVal val="0"/>
          <c:showCatName val="0"/>
          <c:showSerName val="0"/>
          <c:showPercent val="0"/>
          <c:showBubbleSize val="0"/>
        </c:dLbls>
        <c:axId val="1769651247"/>
        <c:axId val="1450632175"/>
      </c:areaChart>
      <c:lineChart>
        <c:grouping val="standard"/>
        <c:varyColors val="0"/>
        <c:ser>
          <c:idx val="2"/>
          <c:order val="2"/>
          <c:tx>
            <c:strRef>
              <c:f>'Chart Data'!$AW$8</c:f>
              <c:strCache>
                <c:ptCount val="1"/>
                <c:pt idx="0">
                  <c:v>Supply</c:v>
                </c:pt>
              </c:strCache>
            </c:strRef>
          </c:tx>
          <c:spPr>
            <a:ln w="28575" cap="rnd">
              <a:solidFill>
                <a:schemeClr val="tx2"/>
              </a:solidFill>
              <a:round/>
            </a:ln>
            <a:effectLst/>
          </c:spPr>
          <c:marker>
            <c:symbol val="circle"/>
            <c:size val="5"/>
            <c:spPr>
              <a:solidFill>
                <a:srgbClr val="9D57A6"/>
              </a:solidFill>
              <a:ln w="12700">
                <a:solidFill>
                  <a:srgbClr val="9D57A6"/>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Data'!$AW$9:$AW$22</c:f>
              <c:numCache>
                <c:formatCode>0.00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mooth val="0"/>
          <c:extLst>
            <c:ext xmlns:c16="http://schemas.microsoft.com/office/drawing/2014/chart" uri="{C3380CC4-5D6E-409C-BE32-E72D297353CC}">
              <c16:uniqueId val="{00000002-2016-44E5-8B13-CF6B4FE4175F}"/>
            </c:ext>
          </c:extLst>
        </c:ser>
        <c:ser>
          <c:idx val="3"/>
          <c:order val="3"/>
          <c:tx>
            <c:strRef>
              <c:f>'Chart Data'!$AX$8</c:f>
              <c:strCache>
                <c:ptCount val="1"/>
                <c:pt idx="0">
                  <c:v>Demand</c:v>
                </c:pt>
              </c:strCache>
            </c:strRef>
          </c:tx>
          <c:spPr>
            <a:ln w="28575" cap="rnd">
              <a:solidFill>
                <a:schemeClr val="accent2"/>
              </a:solidFill>
              <a:round/>
            </a:ln>
            <a:effectLst/>
          </c:spPr>
          <c:marker>
            <c:symbol val="circle"/>
            <c:size val="5"/>
            <c:spPr>
              <a:solidFill>
                <a:srgbClr val="FFAF3B"/>
              </a:solidFill>
              <a:ln w="12700">
                <a:solidFill>
                  <a:srgbClr val="FFAF3B"/>
                </a:solidFill>
                <a:prstDash val="solid"/>
              </a:ln>
              <a:effectLst/>
            </c:spPr>
          </c:marker>
          <c:cat>
            <c:strRef>
              <c:f>'Chart Data'!$K$9:$K$22</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'Chart Data'!$AX$9:$AX$22</c:f>
              <c:numCache>
                <c:formatCode>0.00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smooth val="0"/>
          <c:extLst>
            <c:ext xmlns:c16="http://schemas.microsoft.com/office/drawing/2014/chart" uri="{C3380CC4-5D6E-409C-BE32-E72D297353CC}">
              <c16:uniqueId val="{00000003-2016-44E5-8B13-CF6B4FE4175F}"/>
            </c:ext>
          </c:extLst>
        </c:ser>
        <c:dLbls>
          <c:showLegendKey val="0"/>
          <c:showVal val="0"/>
          <c:showCatName val="0"/>
          <c:showSerName val="0"/>
          <c:showPercent val="0"/>
          <c:showBubbleSize val="0"/>
        </c:dLbls>
        <c:marker val="1"/>
        <c:smooth val="0"/>
        <c:axId val="1769651247"/>
        <c:axId val="1450632175"/>
      </c:lineChart>
      <c:catAx>
        <c:axId val="176965124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450632175"/>
        <c:crosses val="autoZero"/>
        <c:auto val="1"/>
        <c:lblAlgn val="ctr"/>
        <c:lblOffset val="100"/>
        <c:noMultiLvlLbl val="0"/>
      </c:catAx>
      <c:valAx>
        <c:axId val="145063217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Number of FTEs</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769651247"/>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CALCS!$B$179</c:f>
              <c:strCache>
                <c:ptCount val="1"/>
                <c:pt idx="0">
                  <c:v>0-1 years</c:v>
                </c:pt>
              </c:strCache>
            </c:strRef>
          </c:tx>
          <c:spPr>
            <a:solidFill>
              <a:srgbClr val="9D57A6"/>
            </a:solidFill>
            <a:ln w="6350">
              <a:solidFill>
                <a:srgbClr val="9D57A6"/>
              </a:solidFill>
              <a:prstDash val="solid"/>
            </a:ln>
            <a:effectLst/>
          </c:spPr>
          <c:invertIfNegative val="0"/>
          <c:dLbls>
            <c:dLbl>
              <c:idx val="0"/>
              <c:tx>
                <c:rich>
                  <a:bodyPr/>
                  <a:lstStyle/>
                  <a:p>
                    <a:fld id="{7E6C5CCC-CAAA-4CB4-B6E9-17B1D52DE73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A2E-4357-902B-18E34F29EFBA}"/>
                </c:ext>
              </c:extLst>
            </c:dLbl>
            <c:dLbl>
              <c:idx val="1"/>
              <c:tx>
                <c:rich>
                  <a:bodyPr/>
                  <a:lstStyle/>
                  <a:p>
                    <a:fld id="{AA0D3357-F7A6-441C-B2A2-2DA8AAC7FEA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A2E-4357-902B-18E34F29EFBA}"/>
                </c:ext>
              </c:extLst>
            </c:dLbl>
            <c:dLbl>
              <c:idx val="2"/>
              <c:tx>
                <c:rich>
                  <a:bodyPr/>
                  <a:lstStyle/>
                  <a:p>
                    <a:fld id="{214FFC39-D7B2-4F6B-9DE3-423AB8082AC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A2E-4357-902B-18E34F29EFBA}"/>
                </c:ext>
              </c:extLst>
            </c:dLbl>
            <c:dLbl>
              <c:idx val="3"/>
              <c:tx>
                <c:rich>
                  <a:bodyPr/>
                  <a:lstStyle/>
                  <a:p>
                    <a:fld id="{F999CE5C-C4DA-47E1-B5B6-0BC81A4AEA9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A2E-4357-902B-18E34F29EF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Narrow"/>
                    <a:ea typeface="Arial Narrow"/>
                    <a:cs typeface="Arial Narrow"/>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CALCS!$C$177:$Q$177</c15:sqref>
                  </c15:fullRef>
                </c:ext>
              </c:extLst>
              <c:f>(CALCS!$D$177,CALCS!$I$177,CALCS!$N$177,CALCS!$Q$177)</c:f>
              <c:strCache>
                <c:ptCount val="4"/>
                <c:pt idx="0">
                  <c:v>2018-19</c:v>
                </c:pt>
                <c:pt idx="1">
                  <c:v>2023-24</c:v>
                </c:pt>
                <c:pt idx="2">
                  <c:v>2028-29</c:v>
                </c:pt>
                <c:pt idx="3">
                  <c:v>2031-32</c:v>
                </c:pt>
              </c:strCache>
            </c:strRef>
          </c:cat>
          <c:val>
            <c:numRef>
              <c:extLst>
                <c:ext xmlns:c15="http://schemas.microsoft.com/office/drawing/2012/chart" uri="{02D57815-91ED-43cb-92C2-25804820EDAC}">
                  <c15:fullRef>
                    <c15:sqref>CALCS!$C$179:$Q$179</c15:sqref>
                  </c15:fullRef>
                </c:ext>
              </c:extLst>
              <c:f>(CALCS!$D$179,CALCS!$I$179,CALCS!$N$179,CALCS!$Q$179)</c:f>
              <c:numCache>
                <c:formatCode>0</c:formatCode>
                <c:ptCount val="4"/>
                <c:pt idx="0">
                  <c:v>84.116985831251185</c:v>
                </c:pt>
                <c:pt idx="1">
                  <c:v>84.230210939286422</c:v>
                </c:pt>
                <c:pt idx="2">
                  <c:v>84.730761450489865</c:v>
                </c:pt>
                <c:pt idx="3">
                  <c:v>85.088864991974887</c:v>
                </c:pt>
              </c:numCache>
            </c:numRef>
          </c:val>
          <c:extLst>
            <c:ext xmlns:c15="http://schemas.microsoft.com/office/drawing/2012/chart" uri="{02D57815-91ED-43cb-92C2-25804820EDAC}">
              <c15:datalabelsRange>
                <c15:f>CALCS!$C$187:$Q$187</c15:f>
                <c15:dlblRangeCache>
                  <c:ptCount val="15"/>
                  <c:pt idx="0">
                    <c:v>14%</c:v>
                  </c:pt>
                  <c:pt idx="1">
                    <c:v>16%</c:v>
                  </c:pt>
                  <c:pt idx="2">
                    <c:v>16%</c:v>
                  </c:pt>
                  <c:pt idx="3">
                    <c:v>17%</c:v>
                  </c:pt>
                  <c:pt idx="4">
                    <c:v>17%</c:v>
                  </c:pt>
                  <c:pt idx="5">
                    <c:v>17%</c:v>
                  </c:pt>
                  <c:pt idx="6">
                    <c:v>17%</c:v>
                  </c:pt>
                  <c:pt idx="7">
                    <c:v>17%</c:v>
                  </c:pt>
                  <c:pt idx="8">
                    <c:v>17%</c:v>
                  </c:pt>
                  <c:pt idx="9">
                    <c:v>17%</c:v>
                  </c:pt>
                  <c:pt idx="10">
                    <c:v>17%</c:v>
                  </c:pt>
                  <c:pt idx="11">
                    <c:v>17%</c:v>
                  </c:pt>
                  <c:pt idx="12">
                    <c:v>17%</c:v>
                  </c:pt>
                  <c:pt idx="13">
                    <c:v>17%</c:v>
                  </c:pt>
                  <c:pt idx="14">
                    <c:v>17%</c:v>
                  </c:pt>
                </c15:dlblRangeCache>
              </c15:datalabelsRange>
            </c:ext>
            <c:ext xmlns:c16="http://schemas.microsoft.com/office/drawing/2014/chart" uri="{C3380CC4-5D6E-409C-BE32-E72D297353CC}">
              <c16:uniqueId val="{00000004-4A2E-4357-902B-18E34F29EFBA}"/>
            </c:ext>
          </c:extLst>
        </c:ser>
        <c:ser>
          <c:idx val="1"/>
          <c:order val="1"/>
          <c:tx>
            <c:strRef>
              <c:f>CALCS!$B$180</c:f>
              <c:strCache>
                <c:ptCount val="1"/>
                <c:pt idx="0">
                  <c:v>1-2 years</c:v>
                </c:pt>
              </c:strCache>
            </c:strRef>
          </c:tx>
          <c:spPr>
            <a:solidFill>
              <a:srgbClr val="FFAF3B"/>
            </a:solidFill>
            <a:ln w="6350">
              <a:solidFill>
                <a:srgbClr val="FFAF3B"/>
              </a:solidFill>
              <a:prstDash val="solid"/>
            </a:ln>
            <a:effectLst/>
          </c:spPr>
          <c:invertIfNegative val="0"/>
          <c:dLbls>
            <c:dLbl>
              <c:idx val="0"/>
              <c:tx>
                <c:rich>
                  <a:bodyPr/>
                  <a:lstStyle/>
                  <a:p>
                    <a:fld id="{F6385697-DCEB-43C6-A153-41C54FBB02D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A2E-4357-902B-18E34F29EFBA}"/>
                </c:ext>
              </c:extLst>
            </c:dLbl>
            <c:dLbl>
              <c:idx val="1"/>
              <c:tx>
                <c:rich>
                  <a:bodyPr/>
                  <a:lstStyle/>
                  <a:p>
                    <a:fld id="{5E5D7868-A559-441C-9F69-386F5AE8AEF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A2E-4357-902B-18E34F29EFBA}"/>
                </c:ext>
              </c:extLst>
            </c:dLbl>
            <c:dLbl>
              <c:idx val="2"/>
              <c:tx>
                <c:rich>
                  <a:bodyPr/>
                  <a:lstStyle/>
                  <a:p>
                    <a:fld id="{6C130424-7763-4BB0-B358-6604F929297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A2E-4357-902B-18E34F29EFBA}"/>
                </c:ext>
              </c:extLst>
            </c:dLbl>
            <c:dLbl>
              <c:idx val="3"/>
              <c:tx>
                <c:rich>
                  <a:bodyPr/>
                  <a:lstStyle/>
                  <a:p>
                    <a:fld id="{80A0675B-5D59-42F4-8C6D-939591B5C18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A2E-4357-902B-18E34F29EF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CALCS!$C$177:$Q$177</c15:sqref>
                  </c15:fullRef>
                </c:ext>
              </c:extLst>
              <c:f>(CALCS!$D$177,CALCS!$I$177,CALCS!$N$177,CALCS!$Q$177)</c:f>
              <c:strCache>
                <c:ptCount val="4"/>
                <c:pt idx="0">
                  <c:v>2018-19</c:v>
                </c:pt>
                <c:pt idx="1">
                  <c:v>2023-24</c:v>
                </c:pt>
                <c:pt idx="2">
                  <c:v>2028-29</c:v>
                </c:pt>
                <c:pt idx="3">
                  <c:v>2031-32</c:v>
                </c:pt>
              </c:strCache>
            </c:strRef>
          </c:cat>
          <c:val>
            <c:numRef>
              <c:extLst>
                <c:ext xmlns:c15="http://schemas.microsoft.com/office/drawing/2012/chart" uri="{02D57815-91ED-43cb-92C2-25804820EDAC}">
                  <c15:fullRef>
                    <c15:sqref>CALCS!$C$180:$Q$180</c15:sqref>
                  </c15:fullRef>
                </c:ext>
              </c:extLst>
              <c:f>(CALCS!$D$180,CALCS!$I$180,CALCS!$N$180,CALCS!$Q$180)</c:f>
              <c:numCache>
                <c:formatCode>0</c:formatCode>
                <c:ptCount val="4"/>
                <c:pt idx="0">
                  <c:v>81.348982785602516</c:v>
                </c:pt>
                <c:pt idx="1">
                  <c:v>84.129474347964006</c:v>
                </c:pt>
                <c:pt idx="2">
                  <c:v>84.626859118405804</c:v>
                </c:pt>
                <c:pt idx="3">
                  <c:v>84.970507989124144</c:v>
                </c:pt>
              </c:numCache>
            </c:numRef>
          </c:val>
          <c:extLst>
            <c:ext xmlns:c15="http://schemas.microsoft.com/office/drawing/2012/chart" uri="{02D57815-91ED-43cb-92C2-25804820EDAC}">
              <c15:datalabelsRange>
                <c15:f>CALCS!$C$188:$Q$188</c15:f>
                <c15:dlblRangeCache>
                  <c:ptCount val="15"/>
                  <c:pt idx="0">
                    <c:v>15%</c:v>
                  </c:pt>
                  <c:pt idx="1">
                    <c:v>15%</c:v>
                  </c:pt>
                  <c:pt idx="2">
                    <c:v>16%</c:v>
                  </c:pt>
                  <c:pt idx="3">
                    <c:v>17%</c:v>
                  </c:pt>
                  <c:pt idx="4">
                    <c:v>17%</c:v>
                  </c:pt>
                  <c:pt idx="5">
                    <c:v>17%</c:v>
                  </c:pt>
                  <c:pt idx="6">
                    <c:v>17%</c:v>
                  </c:pt>
                  <c:pt idx="7">
                    <c:v>17%</c:v>
                  </c:pt>
                  <c:pt idx="8">
                    <c:v>17%</c:v>
                  </c:pt>
                  <c:pt idx="9">
                    <c:v>17%</c:v>
                  </c:pt>
                  <c:pt idx="10">
                    <c:v>17%</c:v>
                  </c:pt>
                  <c:pt idx="11">
                    <c:v>17%</c:v>
                  </c:pt>
                  <c:pt idx="12">
                    <c:v>17%</c:v>
                  </c:pt>
                  <c:pt idx="13">
                    <c:v>17%</c:v>
                  </c:pt>
                  <c:pt idx="14">
                    <c:v>17%</c:v>
                  </c:pt>
                </c15:dlblRangeCache>
              </c15:datalabelsRange>
            </c:ext>
            <c:ext xmlns:c16="http://schemas.microsoft.com/office/drawing/2014/chart" uri="{C3380CC4-5D6E-409C-BE32-E72D297353CC}">
              <c16:uniqueId val="{00000009-4A2E-4357-902B-18E34F29EFBA}"/>
            </c:ext>
          </c:extLst>
        </c:ser>
        <c:ser>
          <c:idx val="2"/>
          <c:order val="2"/>
          <c:tx>
            <c:strRef>
              <c:f>CALCS!$B$181</c:f>
              <c:strCache>
                <c:ptCount val="1"/>
                <c:pt idx="0">
                  <c:v>2-3 years</c:v>
                </c:pt>
              </c:strCache>
            </c:strRef>
          </c:tx>
          <c:spPr>
            <a:solidFill>
              <a:srgbClr val="A5A5A5"/>
            </a:solidFill>
            <a:ln w="6350">
              <a:solidFill>
                <a:srgbClr val="A5A5A5"/>
              </a:solidFill>
              <a:prstDash val="solid"/>
            </a:ln>
            <a:effectLst/>
          </c:spPr>
          <c:invertIfNegative val="0"/>
          <c:dLbls>
            <c:dLbl>
              <c:idx val="0"/>
              <c:tx>
                <c:rich>
                  <a:bodyPr/>
                  <a:lstStyle/>
                  <a:p>
                    <a:fld id="{A326B3C9-0729-4ABA-99A3-D89CC3DC3A5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A2E-4357-902B-18E34F29EFBA}"/>
                </c:ext>
              </c:extLst>
            </c:dLbl>
            <c:dLbl>
              <c:idx val="1"/>
              <c:tx>
                <c:rich>
                  <a:bodyPr/>
                  <a:lstStyle/>
                  <a:p>
                    <a:fld id="{B8FFE8FA-AC63-44DC-A9F0-63C32A20CDC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A2E-4357-902B-18E34F29EFBA}"/>
                </c:ext>
              </c:extLst>
            </c:dLbl>
            <c:dLbl>
              <c:idx val="2"/>
              <c:tx>
                <c:rich>
                  <a:bodyPr/>
                  <a:lstStyle/>
                  <a:p>
                    <a:fld id="{E9899BEE-E058-490E-B943-C410C4235A8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A2E-4357-902B-18E34F29EFBA}"/>
                </c:ext>
              </c:extLst>
            </c:dLbl>
            <c:dLbl>
              <c:idx val="3"/>
              <c:tx>
                <c:rich>
                  <a:bodyPr/>
                  <a:lstStyle/>
                  <a:p>
                    <a:fld id="{D1D2988B-F1E7-4E2C-AE77-BD2E4D0CAAF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A2E-4357-902B-18E34F29EF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CALCS!$C$177:$Q$177</c15:sqref>
                  </c15:fullRef>
                </c:ext>
              </c:extLst>
              <c:f>(CALCS!$D$177,CALCS!$I$177,CALCS!$N$177,CALCS!$Q$177)</c:f>
              <c:strCache>
                <c:ptCount val="4"/>
                <c:pt idx="0">
                  <c:v>2018-19</c:v>
                </c:pt>
                <c:pt idx="1">
                  <c:v>2023-24</c:v>
                </c:pt>
                <c:pt idx="2">
                  <c:v>2028-29</c:v>
                </c:pt>
                <c:pt idx="3">
                  <c:v>2031-32</c:v>
                </c:pt>
              </c:strCache>
            </c:strRef>
          </c:cat>
          <c:val>
            <c:numRef>
              <c:extLst>
                <c:ext xmlns:c15="http://schemas.microsoft.com/office/drawing/2012/chart" uri="{02D57815-91ED-43cb-92C2-25804820EDAC}">
                  <c15:fullRef>
                    <c15:sqref>CALCS!$C$181:$Q$181</c15:sqref>
                  </c15:fullRef>
                </c:ext>
              </c:extLst>
              <c:f>(CALCS!$D$181,CALCS!$I$181,CALCS!$N$181,CALCS!$Q$181)</c:f>
              <c:numCache>
                <c:formatCode>0</c:formatCode>
                <c:ptCount val="4"/>
                <c:pt idx="0">
                  <c:v>87.406885758998442</c:v>
                </c:pt>
                <c:pt idx="1">
                  <c:v>84.082626586849557</c:v>
                </c:pt>
                <c:pt idx="2">
                  <c:v>84.530707001592319</c:v>
                </c:pt>
                <c:pt idx="3">
                  <c:v>84.845071617319348</c:v>
                </c:pt>
              </c:numCache>
            </c:numRef>
          </c:val>
          <c:extLst>
            <c:ext xmlns:c15="http://schemas.microsoft.com/office/drawing/2012/chart" uri="{02D57815-91ED-43cb-92C2-25804820EDAC}">
              <c15:datalabelsRange>
                <c15:f>CALCS!$C$189:$Q$189</c15:f>
                <c15:dlblRangeCache>
                  <c:ptCount val="15"/>
                  <c:pt idx="0">
                    <c:v>15%</c:v>
                  </c:pt>
                  <c:pt idx="1">
                    <c:v>16%</c:v>
                  </c:pt>
                  <c:pt idx="2">
                    <c:v>16%</c:v>
                  </c:pt>
                  <c:pt idx="3">
                    <c:v>17%</c:v>
                  </c:pt>
                  <c:pt idx="4">
                    <c:v>17%</c:v>
                  </c:pt>
                  <c:pt idx="5">
                    <c:v>17%</c:v>
                  </c:pt>
                  <c:pt idx="6">
                    <c:v>17%</c:v>
                  </c:pt>
                  <c:pt idx="7">
                    <c:v>17%</c:v>
                  </c:pt>
                  <c:pt idx="8">
                    <c:v>17%</c:v>
                  </c:pt>
                  <c:pt idx="9">
                    <c:v>17%</c:v>
                  </c:pt>
                  <c:pt idx="10">
                    <c:v>17%</c:v>
                  </c:pt>
                  <c:pt idx="11">
                    <c:v>17%</c:v>
                  </c:pt>
                  <c:pt idx="12">
                    <c:v>17%</c:v>
                  </c:pt>
                  <c:pt idx="13">
                    <c:v>17%</c:v>
                  </c:pt>
                  <c:pt idx="14">
                    <c:v>17%</c:v>
                  </c:pt>
                </c15:dlblRangeCache>
              </c15:datalabelsRange>
            </c:ext>
            <c:ext xmlns:c16="http://schemas.microsoft.com/office/drawing/2014/chart" uri="{C3380CC4-5D6E-409C-BE32-E72D297353CC}">
              <c16:uniqueId val="{0000000E-4A2E-4357-902B-18E34F29EFBA}"/>
            </c:ext>
          </c:extLst>
        </c:ser>
        <c:ser>
          <c:idx val="3"/>
          <c:order val="3"/>
          <c:tx>
            <c:strRef>
              <c:f>CALCS!$B$182</c:f>
              <c:strCache>
                <c:ptCount val="1"/>
                <c:pt idx="0">
                  <c:v>3-4 years</c:v>
                </c:pt>
              </c:strCache>
            </c:strRef>
          </c:tx>
          <c:spPr>
            <a:pattFill prst="pct50">
              <a:fgClr>
                <a:srgbClr val="9D57A6"/>
              </a:fgClr>
              <a:bgClr>
                <a:srgbClr val="FFFFFF"/>
              </a:bgClr>
            </a:pattFill>
            <a:ln w="6350">
              <a:solidFill>
                <a:srgbClr val="9D57A6"/>
              </a:solidFill>
              <a:prstDash val="solid"/>
            </a:ln>
            <a:effectLst/>
          </c:spPr>
          <c:invertIfNegative val="0"/>
          <c:dLbls>
            <c:dLbl>
              <c:idx val="0"/>
              <c:tx>
                <c:rich>
                  <a:bodyPr/>
                  <a:lstStyle/>
                  <a:p>
                    <a:fld id="{71181BDF-3841-4FE9-ABCC-82BFDD2E528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A2E-4357-902B-18E34F29EFBA}"/>
                </c:ext>
              </c:extLst>
            </c:dLbl>
            <c:dLbl>
              <c:idx val="1"/>
              <c:tx>
                <c:rich>
                  <a:bodyPr/>
                  <a:lstStyle/>
                  <a:p>
                    <a:fld id="{87641B5A-D236-446D-8994-F6AD340DF89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A2E-4357-902B-18E34F29EFBA}"/>
                </c:ext>
              </c:extLst>
            </c:dLbl>
            <c:dLbl>
              <c:idx val="2"/>
              <c:tx>
                <c:rich>
                  <a:bodyPr/>
                  <a:lstStyle/>
                  <a:p>
                    <a:fld id="{381048FF-6B66-4176-A70E-B4D1EF0983B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A2E-4357-902B-18E34F29EFBA}"/>
                </c:ext>
              </c:extLst>
            </c:dLbl>
            <c:dLbl>
              <c:idx val="3"/>
              <c:tx>
                <c:rich>
                  <a:bodyPr/>
                  <a:lstStyle/>
                  <a:p>
                    <a:fld id="{87413DE9-1B5F-4E8F-AF93-3E806316616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A2E-4357-902B-18E34F29EF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CALCS!$C$177:$Q$177</c15:sqref>
                  </c15:fullRef>
                </c:ext>
              </c:extLst>
              <c:f>(CALCS!$D$177,CALCS!$I$177,CALCS!$N$177,CALCS!$Q$177)</c:f>
              <c:strCache>
                <c:ptCount val="4"/>
                <c:pt idx="0">
                  <c:v>2018-19</c:v>
                </c:pt>
                <c:pt idx="1">
                  <c:v>2023-24</c:v>
                </c:pt>
                <c:pt idx="2">
                  <c:v>2028-29</c:v>
                </c:pt>
                <c:pt idx="3">
                  <c:v>2031-32</c:v>
                </c:pt>
              </c:strCache>
            </c:strRef>
          </c:cat>
          <c:val>
            <c:numRef>
              <c:extLst>
                <c:ext xmlns:c15="http://schemas.microsoft.com/office/drawing/2012/chart" uri="{02D57815-91ED-43cb-92C2-25804820EDAC}">
                  <c15:fullRef>
                    <c15:sqref>CALCS!$C$182:$Q$182</c15:sqref>
                  </c15:fullRef>
                </c:ext>
              </c:extLst>
              <c:f>(CALCS!$D$182,CALCS!$I$182,CALCS!$N$182,CALCS!$Q$182)</c:f>
              <c:numCache>
                <c:formatCode>0</c:formatCode>
                <c:ptCount val="4"/>
                <c:pt idx="0">
                  <c:v>85.676056338028161</c:v>
                </c:pt>
                <c:pt idx="1">
                  <c:v>84.060483119507595</c:v>
                </c:pt>
                <c:pt idx="2">
                  <c:v>84.434546479108533</c:v>
                </c:pt>
                <c:pt idx="3">
                  <c:v>84.730761450489865</c:v>
                </c:pt>
              </c:numCache>
            </c:numRef>
          </c:val>
          <c:extLst>
            <c:ext xmlns:c15="http://schemas.microsoft.com/office/drawing/2012/chart" uri="{02D57815-91ED-43cb-92C2-25804820EDAC}">
              <c15:datalabelsRange>
                <c15:f>CALCS!$C$190:$Q$190</c15:f>
                <c15:dlblRangeCache>
                  <c:ptCount val="15"/>
                  <c:pt idx="0">
                    <c:v>16%</c:v>
                  </c:pt>
                  <c:pt idx="1">
                    <c:v>16%</c:v>
                  </c:pt>
                  <c:pt idx="2">
                    <c:v>17%</c:v>
                  </c:pt>
                  <c:pt idx="3">
                    <c:v>16%</c:v>
                  </c:pt>
                  <c:pt idx="4">
                    <c:v>17%</c:v>
                  </c:pt>
                  <c:pt idx="5">
                    <c:v>17%</c:v>
                  </c:pt>
                  <c:pt idx="6">
                    <c:v>17%</c:v>
                  </c:pt>
                  <c:pt idx="7">
                    <c:v>17%</c:v>
                  </c:pt>
                  <c:pt idx="8">
                    <c:v>17%</c:v>
                  </c:pt>
                  <c:pt idx="9">
                    <c:v>17%</c:v>
                  </c:pt>
                  <c:pt idx="10">
                    <c:v>17%</c:v>
                  </c:pt>
                  <c:pt idx="11">
                    <c:v>17%</c:v>
                  </c:pt>
                  <c:pt idx="12">
                    <c:v>17%</c:v>
                  </c:pt>
                  <c:pt idx="13">
                    <c:v>17%</c:v>
                  </c:pt>
                  <c:pt idx="14">
                    <c:v>17%</c:v>
                  </c:pt>
                </c15:dlblRangeCache>
              </c15:datalabelsRange>
            </c:ext>
            <c:ext xmlns:c16="http://schemas.microsoft.com/office/drawing/2014/chart" uri="{C3380CC4-5D6E-409C-BE32-E72D297353CC}">
              <c16:uniqueId val="{00000013-4A2E-4357-902B-18E34F29EFBA}"/>
            </c:ext>
          </c:extLst>
        </c:ser>
        <c:ser>
          <c:idx val="4"/>
          <c:order val="4"/>
          <c:tx>
            <c:strRef>
              <c:f>CALCS!$B$183</c:f>
              <c:strCache>
                <c:ptCount val="1"/>
                <c:pt idx="0">
                  <c:v>4-5 years</c:v>
                </c:pt>
              </c:strCache>
            </c:strRef>
          </c:tx>
          <c:spPr>
            <a:pattFill prst="pct50">
              <a:fgClr>
                <a:srgbClr val="FFAF3B"/>
              </a:fgClr>
              <a:bgClr>
                <a:srgbClr val="FFFFFF"/>
              </a:bgClr>
            </a:pattFill>
            <a:ln w="6350">
              <a:solidFill>
                <a:srgbClr val="FFAF3B"/>
              </a:solidFill>
              <a:prstDash val="solid"/>
            </a:ln>
            <a:effectLst/>
          </c:spPr>
          <c:invertIfNegative val="0"/>
          <c:dLbls>
            <c:dLbl>
              <c:idx val="0"/>
              <c:tx>
                <c:rich>
                  <a:bodyPr/>
                  <a:lstStyle/>
                  <a:p>
                    <a:fld id="{80DB18FC-D9CE-4921-8BB7-E37A15B5956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A2E-4357-902B-18E34F29EFBA}"/>
                </c:ext>
              </c:extLst>
            </c:dLbl>
            <c:dLbl>
              <c:idx val="1"/>
              <c:tx>
                <c:rich>
                  <a:bodyPr/>
                  <a:lstStyle/>
                  <a:p>
                    <a:fld id="{1F12BCB0-C318-4EEA-857F-4659ADFFDB3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A2E-4357-902B-18E34F29EFBA}"/>
                </c:ext>
              </c:extLst>
            </c:dLbl>
            <c:dLbl>
              <c:idx val="2"/>
              <c:tx>
                <c:rich>
                  <a:bodyPr/>
                  <a:lstStyle/>
                  <a:p>
                    <a:fld id="{3D536965-5344-4CE1-A39C-627FAF29920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A2E-4357-902B-18E34F29EFBA}"/>
                </c:ext>
              </c:extLst>
            </c:dLbl>
            <c:dLbl>
              <c:idx val="3"/>
              <c:tx>
                <c:rich>
                  <a:bodyPr/>
                  <a:lstStyle/>
                  <a:p>
                    <a:fld id="{70C8F17C-E7E7-42DD-AC0C-F35E8EEC1A7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A2E-4357-902B-18E34F29EF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CALCS!$C$177:$Q$177</c15:sqref>
                  </c15:fullRef>
                </c:ext>
              </c:extLst>
              <c:f>(CALCS!$D$177,CALCS!$I$177,CALCS!$N$177,CALCS!$Q$177)</c:f>
              <c:strCache>
                <c:ptCount val="4"/>
                <c:pt idx="0">
                  <c:v>2018-19</c:v>
                </c:pt>
                <c:pt idx="1">
                  <c:v>2023-24</c:v>
                </c:pt>
                <c:pt idx="2">
                  <c:v>2028-29</c:v>
                </c:pt>
                <c:pt idx="3">
                  <c:v>2031-32</c:v>
                </c:pt>
              </c:strCache>
            </c:strRef>
          </c:cat>
          <c:val>
            <c:numRef>
              <c:extLst>
                <c:ext xmlns:c15="http://schemas.microsoft.com/office/drawing/2012/chart" uri="{02D57815-91ED-43cb-92C2-25804820EDAC}">
                  <c15:fullRef>
                    <c15:sqref>CALCS!$C$183:$Q$183</c15:sqref>
                  </c15:fullRef>
                </c:ext>
              </c:extLst>
              <c:f>(CALCS!$D$183,CALCS!$I$183,CALCS!$N$183,CALCS!$Q$183)</c:f>
              <c:numCache>
                <c:formatCode>0</c:formatCode>
                <c:ptCount val="4"/>
                <c:pt idx="0">
                  <c:v>95.19561815336462</c:v>
                </c:pt>
                <c:pt idx="1">
                  <c:v>84.07478416579012</c:v>
                </c:pt>
                <c:pt idx="2">
                  <c:v>84.334653688007435</c:v>
                </c:pt>
                <c:pt idx="3">
                  <c:v>84.626859118405804</c:v>
                </c:pt>
              </c:numCache>
            </c:numRef>
          </c:val>
          <c:extLst>
            <c:ext xmlns:c15="http://schemas.microsoft.com/office/drawing/2012/chart" uri="{02D57815-91ED-43cb-92C2-25804820EDAC}">
              <c15:datalabelsRange>
                <c15:f>CALCS!$C$191:$Q$191</c15:f>
                <c15:dlblRangeCache>
                  <c:ptCount val="15"/>
                  <c:pt idx="0">
                    <c:v>18%</c:v>
                  </c:pt>
                  <c:pt idx="1">
                    <c:v>18%</c:v>
                  </c:pt>
                  <c:pt idx="2">
                    <c:v>17%</c:v>
                  </c:pt>
                  <c:pt idx="3">
                    <c:v>17%</c:v>
                  </c:pt>
                  <c:pt idx="4">
                    <c:v>16%</c:v>
                  </c:pt>
                  <c:pt idx="5">
                    <c:v>17%</c:v>
                  </c:pt>
                  <c:pt idx="6">
                    <c:v>17%</c:v>
                  </c:pt>
                  <c:pt idx="7">
                    <c:v>17%</c:v>
                  </c:pt>
                  <c:pt idx="8">
                    <c:v>17%</c:v>
                  </c:pt>
                  <c:pt idx="9">
                    <c:v>17%</c:v>
                  </c:pt>
                  <c:pt idx="10">
                    <c:v>17%</c:v>
                  </c:pt>
                  <c:pt idx="11">
                    <c:v>17%</c:v>
                  </c:pt>
                  <c:pt idx="12">
                    <c:v>17%</c:v>
                  </c:pt>
                  <c:pt idx="13">
                    <c:v>17%</c:v>
                  </c:pt>
                  <c:pt idx="14">
                    <c:v>17%</c:v>
                  </c:pt>
                </c15:dlblRangeCache>
              </c15:datalabelsRange>
            </c:ext>
            <c:ext xmlns:c16="http://schemas.microsoft.com/office/drawing/2014/chart" uri="{C3380CC4-5D6E-409C-BE32-E72D297353CC}">
              <c16:uniqueId val="{00000018-4A2E-4357-902B-18E34F29EFBA}"/>
            </c:ext>
          </c:extLst>
        </c:ser>
        <c:ser>
          <c:idx val="5"/>
          <c:order val="5"/>
          <c:tx>
            <c:strRef>
              <c:f>CALCS!$B$184</c:f>
              <c:strCache>
                <c:ptCount val="1"/>
                <c:pt idx="0">
                  <c:v>5-6 years</c:v>
                </c:pt>
              </c:strCache>
            </c:strRef>
          </c:tx>
          <c:spPr>
            <a:pattFill prst="pct50">
              <a:fgClr>
                <a:srgbClr val="A5A5A5"/>
              </a:fgClr>
              <a:bgClr>
                <a:srgbClr val="FFFFFF"/>
              </a:bgClr>
            </a:pattFill>
            <a:ln w="6350">
              <a:solidFill>
                <a:srgbClr val="A5A5A5"/>
              </a:solidFill>
              <a:prstDash val="solid"/>
            </a:ln>
            <a:effectLst/>
          </c:spPr>
          <c:invertIfNegative val="0"/>
          <c:dLbls>
            <c:dLbl>
              <c:idx val="0"/>
              <c:tx>
                <c:rich>
                  <a:bodyPr/>
                  <a:lstStyle/>
                  <a:p>
                    <a:fld id="{AF15C38C-5239-4DF4-9AD6-5C7C84CACF7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A2E-4357-902B-18E34F29EFBA}"/>
                </c:ext>
              </c:extLst>
            </c:dLbl>
            <c:dLbl>
              <c:idx val="1"/>
              <c:tx>
                <c:rich>
                  <a:bodyPr/>
                  <a:lstStyle/>
                  <a:p>
                    <a:fld id="{E7183203-5ACB-4FD1-B671-8549517B793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A2E-4357-902B-18E34F29EFBA}"/>
                </c:ext>
              </c:extLst>
            </c:dLbl>
            <c:dLbl>
              <c:idx val="2"/>
              <c:tx>
                <c:rich>
                  <a:bodyPr/>
                  <a:lstStyle/>
                  <a:p>
                    <a:fld id="{DCCAE324-4DCE-48F8-B051-9C975104F9C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A2E-4357-902B-18E34F29EFBA}"/>
                </c:ext>
              </c:extLst>
            </c:dLbl>
            <c:dLbl>
              <c:idx val="3"/>
              <c:tx>
                <c:rich>
                  <a:bodyPr/>
                  <a:lstStyle/>
                  <a:p>
                    <a:fld id="{232047EB-C88E-42EE-A784-6AF8F49870E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A2E-4357-902B-18E34F29EF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100"/>
                    </a:solidFill>
                    <a:latin typeface="Arial Narrow"/>
                    <a:ea typeface="Arial Narrow"/>
                    <a:cs typeface="Arial Narrow"/>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CALCS!$C$177:$Q$177</c15:sqref>
                  </c15:fullRef>
                </c:ext>
              </c:extLst>
              <c:f>(CALCS!$D$177,CALCS!$I$177,CALCS!$N$177,CALCS!$Q$177)</c:f>
              <c:strCache>
                <c:ptCount val="4"/>
                <c:pt idx="0">
                  <c:v>2018-19</c:v>
                </c:pt>
                <c:pt idx="1">
                  <c:v>2023-24</c:v>
                </c:pt>
                <c:pt idx="2">
                  <c:v>2028-29</c:v>
                </c:pt>
                <c:pt idx="3">
                  <c:v>2031-32</c:v>
                </c:pt>
              </c:strCache>
            </c:strRef>
          </c:cat>
          <c:val>
            <c:numRef>
              <c:extLst>
                <c:ext xmlns:c15="http://schemas.microsoft.com/office/drawing/2012/chart" uri="{02D57815-91ED-43cb-92C2-25804820EDAC}">
                  <c15:fullRef>
                    <c15:sqref>CALCS!$C$184:$Q$184</c15:sqref>
                  </c15:fullRef>
                </c:ext>
              </c:extLst>
              <c:f>(CALCS!$D$184,CALCS!$I$184,CALCS!$N$184,CALCS!$Q$184)</c:f>
              <c:numCache>
                <c:formatCode>0</c:formatCode>
                <c:ptCount val="4"/>
                <c:pt idx="0">
                  <c:v>102.98435054773083</c:v>
                </c:pt>
                <c:pt idx="1">
                  <c:v>84.116985831251185</c:v>
                </c:pt>
                <c:pt idx="2">
                  <c:v>84.230210939286422</c:v>
                </c:pt>
                <c:pt idx="3">
                  <c:v>84.530707001592319</c:v>
                </c:pt>
              </c:numCache>
            </c:numRef>
          </c:val>
          <c:extLst>
            <c:ext xmlns:c15="http://schemas.microsoft.com/office/drawing/2012/chart" uri="{02D57815-91ED-43cb-92C2-25804820EDAC}">
              <c15:datalabelsRange>
                <c15:f>CALCS!$C$192:$Q$192</c15:f>
                <c15:dlblRangeCache>
                  <c:ptCount val="15"/>
                  <c:pt idx="0">
                    <c:v>23%</c:v>
                  </c:pt>
                  <c:pt idx="1">
                    <c:v>19%</c:v>
                  </c:pt>
                  <c:pt idx="2">
                    <c:v>18%</c:v>
                  </c:pt>
                  <c:pt idx="3">
                    <c:v>17%</c:v>
                  </c:pt>
                  <c:pt idx="4">
                    <c:v>17%</c:v>
                  </c:pt>
                  <c:pt idx="5">
                    <c:v>16%</c:v>
                  </c:pt>
                  <c:pt idx="6">
                    <c:v>17%</c:v>
                  </c:pt>
                  <c:pt idx="7">
                    <c:v>17%</c:v>
                  </c:pt>
                  <c:pt idx="8">
                    <c:v>17%</c:v>
                  </c:pt>
                  <c:pt idx="9">
                    <c:v>17%</c:v>
                  </c:pt>
                  <c:pt idx="10">
                    <c:v>17%</c:v>
                  </c:pt>
                  <c:pt idx="11">
                    <c:v>17%</c:v>
                  </c:pt>
                  <c:pt idx="12">
                    <c:v>17%</c:v>
                  </c:pt>
                  <c:pt idx="13">
                    <c:v>17%</c:v>
                  </c:pt>
                  <c:pt idx="14">
                    <c:v>17%</c:v>
                  </c:pt>
                </c15:dlblRangeCache>
              </c15:datalabelsRange>
            </c:ext>
            <c:ext xmlns:c16="http://schemas.microsoft.com/office/drawing/2014/chart" uri="{C3380CC4-5D6E-409C-BE32-E72D297353CC}">
              <c16:uniqueId val="{0000001D-4A2E-4357-902B-18E34F29EFBA}"/>
            </c:ext>
          </c:extLst>
        </c:ser>
        <c:dLbls>
          <c:showLegendKey val="0"/>
          <c:showVal val="0"/>
          <c:showCatName val="0"/>
          <c:showSerName val="0"/>
          <c:showPercent val="0"/>
          <c:showBubbleSize val="0"/>
        </c:dLbls>
        <c:gapWidth val="150"/>
        <c:overlap val="100"/>
        <c:axId val="478828128"/>
        <c:axId val="1780603168"/>
      </c:barChart>
      <c:catAx>
        <c:axId val="47882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1780603168"/>
        <c:crosses val="autoZero"/>
        <c:auto val="1"/>
        <c:lblAlgn val="ctr"/>
        <c:lblOffset val="100"/>
        <c:noMultiLvlLbl val="0"/>
      </c:catAx>
      <c:valAx>
        <c:axId val="1780603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r>
                  <a:rPr lang="en-AU"/>
                  <a:t>Child population projections</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crossAx val="47882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0100"/>
              </a:solidFill>
              <a:latin typeface="Arial Narrow"/>
              <a:ea typeface="Arial Narrow"/>
              <a:cs typeface="Arial Narrow"/>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rgbClr val="000100"/>
          </a:solidFill>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3</xdr:col>
      <xdr:colOff>330200</xdr:colOff>
      <xdr:row>0</xdr:row>
      <xdr:rowOff>137887</xdr:rowOff>
    </xdr:from>
    <xdr:to>
      <xdr:col>4</xdr:col>
      <xdr:colOff>14060</xdr:colOff>
      <xdr:row>3</xdr:row>
      <xdr:rowOff>90216</xdr:rowOff>
    </xdr:to>
    <xdr:pic>
      <xdr:nvPicPr>
        <xdr:cNvPr id="2" name="Picture 1">
          <a:extLst>
            <a:ext uri="{FF2B5EF4-FFF2-40B4-BE49-F238E27FC236}">
              <a16:creationId xmlns:a16="http://schemas.microsoft.com/office/drawing/2014/main" id="{6838D011-A3D9-497F-A825-B5D1E2413772}"/>
            </a:ext>
          </a:extLst>
        </xdr:cNvPr>
        <xdr:cNvPicPr>
          <a:picLocks noChangeAspect="1"/>
        </xdr:cNvPicPr>
      </xdr:nvPicPr>
      <xdr:blipFill>
        <a:blip xmlns:r="http://schemas.openxmlformats.org/officeDocument/2006/relationships" r:embed="rId1"/>
        <a:stretch>
          <a:fillRect/>
        </a:stretch>
      </xdr:blipFill>
      <xdr:spPr>
        <a:xfrm>
          <a:off x="6707414" y="137887"/>
          <a:ext cx="1933574" cy="578258"/>
        </a:xfrm>
        <a:prstGeom prst="rect">
          <a:avLst/>
        </a:prstGeom>
      </xdr:spPr>
    </xdr:pic>
    <xdr:clientData/>
  </xdr:twoCellAnchor>
  <xdr:oneCellAnchor>
    <xdr:from>
      <xdr:col>1</xdr:col>
      <xdr:colOff>282016</xdr:colOff>
      <xdr:row>12</xdr:row>
      <xdr:rowOff>77897</xdr:rowOff>
    </xdr:from>
    <xdr:ext cx="8466818" cy="4223203"/>
    <xdr:sp macro="" textlink="">
      <xdr:nvSpPr>
        <xdr:cNvPr id="3" name="TextBox 2">
          <a:extLst>
            <a:ext uri="{FF2B5EF4-FFF2-40B4-BE49-F238E27FC236}">
              <a16:creationId xmlns:a16="http://schemas.microsoft.com/office/drawing/2014/main" id="{31836087-5FA9-42ED-9A16-CDB576A10F26}"/>
            </a:ext>
          </a:extLst>
        </xdr:cNvPr>
        <xdr:cNvSpPr txBox="1"/>
      </xdr:nvSpPr>
      <xdr:spPr>
        <a:xfrm>
          <a:off x="890335" y="5000481"/>
          <a:ext cx="8466818" cy="4223203"/>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mn-lt"/>
              <a:ea typeface="+mn-ea"/>
              <a:cs typeface="+mn-cs"/>
            </a:rPr>
            <a:t>RELIANCE AND DISCLAIMER</a:t>
          </a:r>
          <a:r>
            <a:rPr lang="en-GB" sz="1200">
              <a:solidFill>
                <a:schemeClr val="tx1"/>
              </a:solidFill>
              <a:effectLst/>
              <a:latin typeface="+mn-lt"/>
              <a:ea typeface="+mn-ea"/>
              <a:cs typeface="+mn-cs"/>
            </a:rPr>
            <a:t> </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professional analysis and advice in this model has been prepared by ACIL Allen Consulting for the exclusive use of the party or parties to whom it is addressed (the addressee) and for the purposes specified in it.</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This model is supplied in good faith and reflects the knowledge, expertise and experience of the consultants involved.</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model must not be published, quoted or disseminated to any other party without ACIL Allen Consulting's prior written consent.</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ACIL Allen Consulting accepts no responsibility whatsoever for any loss occasioned by any person acting or refraining from action as a result of reliance on this model and associated documentation, other than the addressee.</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In developing the model ACIL Allen Consulting has endeavoured to use what it considers is the best information available at the date of publication, including information supplied by the addressee.</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Unless stated otherwise, ACIL Allen Consulting does not warrant the accuracy of any forecast or projection generated by the model.</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Although ACIL Allen Consulting exercises reasonable care when making forecasts or projections, factors in the process, such as future market behaviour, ar inherently uncertain and cannot be forecast or projected reliably.</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ACIL Allen Consulting shall not be liable in respect of any claim arising from a failure of the model to accurately forecast Victorian Government expenditure or workforce activity implied in any advice or forecast given by ACIL Allen Consulting.</a:t>
          </a:r>
        </a:p>
        <a:p>
          <a:endParaRPr lang="en-GB" sz="1200"/>
        </a:p>
      </xdr:txBody>
    </xdr:sp>
    <xdr:clientData/>
  </xdr:oneCellAnchor>
  <xdr:twoCellAnchor editAs="oneCell">
    <xdr:from>
      <xdr:col>0</xdr:col>
      <xdr:colOff>0</xdr:colOff>
      <xdr:row>0</xdr:row>
      <xdr:rowOff>0</xdr:rowOff>
    </xdr:from>
    <xdr:to>
      <xdr:col>1</xdr:col>
      <xdr:colOff>863081</xdr:colOff>
      <xdr:row>2</xdr:row>
      <xdr:rowOff>81170</xdr:rowOff>
    </xdr:to>
    <xdr:pic>
      <xdr:nvPicPr>
        <xdr:cNvPr id="4" name="Picture 3">
          <a:extLst>
            <a:ext uri="{FF2B5EF4-FFF2-40B4-BE49-F238E27FC236}">
              <a16:creationId xmlns:a16="http://schemas.microsoft.com/office/drawing/2014/main" id="{8D246693-6E0D-41B5-B55C-A969B9C0088E}"/>
            </a:ext>
          </a:extLst>
        </xdr:cNvPr>
        <xdr:cNvPicPr>
          <a:picLocks noChangeAspect="1"/>
        </xdr:cNvPicPr>
      </xdr:nvPicPr>
      <xdr:blipFill rotWithShape="1">
        <a:blip xmlns:r="http://schemas.openxmlformats.org/officeDocument/2006/relationships" r:embed="rId2"/>
        <a:srcRect l="7954" t="16489" r="7387" b="20091"/>
        <a:stretch/>
      </xdr:blipFill>
      <xdr:spPr>
        <a:xfrm>
          <a:off x="0" y="0"/>
          <a:ext cx="1475994"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314324</xdr:colOff>
      <xdr:row>2</xdr:row>
      <xdr:rowOff>104775</xdr:rowOff>
    </xdr:from>
    <xdr:to>
      <xdr:col>6</xdr:col>
      <xdr:colOff>619124</xdr:colOff>
      <xdr:row>8</xdr:row>
      <xdr:rowOff>190500</xdr:rowOff>
    </xdr:to>
    <xdr:sp macro="" textlink="">
      <xdr:nvSpPr>
        <xdr:cNvPr id="17" name="Rectangle: Rounded Corners 16">
          <a:extLst>
            <a:ext uri="{FF2B5EF4-FFF2-40B4-BE49-F238E27FC236}">
              <a16:creationId xmlns:a16="http://schemas.microsoft.com/office/drawing/2014/main" id="{8E260479-CC9B-455A-8231-123686360F91}"/>
            </a:ext>
          </a:extLst>
        </xdr:cNvPr>
        <xdr:cNvSpPr/>
      </xdr:nvSpPr>
      <xdr:spPr bwMode="auto">
        <a:xfrm>
          <a:off x="314324" y="581025"/>
          <a:ext cx="3457575" cy="1343025"/>
        </a:xfrm>
        <a:prstGeom prst="roundRect">
          <a:avLst/>
        </a:prstGeom>
        <a:solidFill>
          <a:schemeClr val="accent2"/>
        </a:solidFill>
        <a:ln w="28575" cap="flat" cmpd="sng" algn="ctr">
          <a:solidFill>
            <a:schemeClr val="accent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1" i="0" u="none" strike="noStrike" cap="none" normalizeH="0" baseline="0">
              <a:ln>
                <a:noFill/>
              </a:ln>
              <a:solidFill>
                <a:schemeClr val="tx1"/>
              </a:solidFill>
              <a:effectLst/>
              <a:latin typeface="+mj-lt"/>
            </a:rPr>
            <a:t>IMPORTANT NOTE</a:t>
          </a:r>
        </a:p>
        <a:p>
          <a:pPr marL="0" marR="0" indent="0" algn="ctr" defTabSz="914400" rtl="0" eaLnBrk="0" fontAlgn="base" latinLnBrk="0" hangingPunct="0">
            <a:lnSpc>
              <a:spcPct val="100000"/>
            </a:lnSpc>
            <a:spcBef>
              <a:spcPct val="0"/>
            </a:spcBef>
            <a:spcAft>
              <a:spcPct val="0"/>
            </a:spcAft>
            <a:buClrTx/>
            <a:buSzTx/>
            <a:buFontTx/>
            <a:buNone/>
            <a:tabLst/>
          </a:pPr>
          <a:endParaRPr kumimoji="0" lang="en-AU" sz="1100" b="1" i="0"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1" i="0" u="none" strike="noStrike" cap="none" normalizeH="0" baseline="0">
              <a:ln>
                <a:noFill/>
              </a:ln>
              <a:solidFill>
                <a:schemeClr val="tx1"/>
              </a:solidFill>
              <a:effectLst/>
              <a:latin typeface="+mj-lt"/>
            </a:rPr>
            <a:t>HIDE THIS SHEET BEFORE DISTRIBUTION</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To hide the sheet, go to Review &gt; Unprotect Workbook and use password: </a:t>
          </a:r>
          <a:r>
            <a:rPr kumimoji="0" lang="en-AU" sz="1100" b="0" i="1" u="none" strike="noStrike" cap="none" normalizeH="0" baseline="0">
              <a:ln>
                <a:noFill/>
              </a:ln>
              <a:solidFill>
                <a:schemeClr val="tx1"/>
              </a:solidFill>
              <a:effectLst/>
              <a:latin typeface="+mj-lt"/>
            </a:rPr>
            <a:t>AACmodel2019</a:t>
          </a:r>
          <a:r>
            <a:rPr kumimoji="0" lang="en-AU" sz="1100" b="0" i="0" u="none" strike="noStrike" cap="none" normalizeH="0" baseline="0">
              <a:ln>
                <a:noFill/>
              </a:ln>
              <a:solidFill>
                <a:schemeClr val="tx1"/>
              </a:solidFill>
              <a:effectLst/>
              <a:latin typeface="+mj-lt"/>
            </a:rPr>
            <a:t>. Then hide this sheet by right-clicking on the tab name.</a:t>
          </a:r>
          <a:endParaRPr kumimoji="0" lang="en-AU" sz="1100" b="0" i="1" u="none" strike="noStrike" cap="none" normalizeH="0" baseline="0">
            <a:ln>
              <a:noFill/>
            </a:ln>
            <a:solidFill>
              <a:schemeClr val="tx1"/>
            </a:solidFill>
            <a:effectLst/>
            <a:latin typeface="+mj-lt"/>
          </a:endParaRPr>
        </a:p>
      </xdr:txBody>
    </xdr:sp>
    <xdr:clientData/>
  </xdr:twoCellAnchor>
  <xdr:twoCellAnchor>
    <xdr:from>
      <xdr:col>9</xdr:col>
      <xdr:colOff>238125</xdr:colOff>
      <xdr:row>2</xdr:row>
      <xdr:rowOff>57150</xdr:rowOff>
    </xdr:from>
    <xdr:to>
      <xdr:col>16</xdr:col>
      <xdr:colOff>885825</xdr:colOff>
      <xdr:row>9</xdr:row>
      <xdr:rowOff>38100</xdr:rowOff>
    </xdr:to>
    <xdr:sp macro="" textlink="">
      <xdr:nvSpPr>
        <xdr:cNvPr id="18" name="Rectangle: Rounded Corners 17">
          <a:extLst>
            <a:ext uri="{FF2B5EF4-FFF2-40B4-BE49-F238E27FC236}">
              <a16:creationId xmlns:a16="http://schemas.microsoft.com/office/drawing/2014/main" id="{62231653-59A0-44A9-ABA2-E47CD5D98F36}"/>
            </a:ext>
          </a:extLst>
        </xdr:cNvPr>
        <xdr:cNvSpPr/>
      </xdr:nvSpPr>
      <xdr:spPr bwMode="auto">
        <a:xfrm>
          <a:off x="5248275" y="533400"/>
          <a:ext cx="4914900" cy="1447800"/>
        </a:xfrm>
        <a:prstGeom prst="roundRect">
          <a:avLst/>
        </a:prstGeom>
        <a:solidFill>
          <a:schemeClr val="bg2"/>
        </a:solidFill>
        <a:ln w="28575" cap="flat" cmpd="sng" algn="ctr">
          <a:solidFill>
            <a:schemeClr val="tx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100" b="1" i="0" u="none" strike="noStrike" cap="none" normalizeH="0" baseline="0">
              <a:ln>
                <a:noFill/>
              </a:ln>
              <a:solidFill>
                <a:schemeClr val="tx1"/>
              </a:solidFill>
              <a:effectLst/>
              <a:latin typeface="+mj-lt"/>
            </a:rPr>
            <a:t>INSTRUCTIONS</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Please copy from the corresponding DHHS data sheet in the Regional Tool.</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1" u="none" strike="noStrike" cap="none" normalizeH="0" baseline="0">
              <a:ln>
                <a:noFill/>
              </a:ln>
              <a:solidFill>
                <a:schemeClr val="tx1"/>
              </a:solidFill>
              <a:effectLst/>
              <a:latin typeface="+mj-lt"/>
            </a:rPr>
            <a:t>For more information, please see Chapter 5 of the Model and Tool Supporting Documentation, May 2019.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114300</xdr:rowOff>
    </xdr:from>
    <xdr:to>
      <xdr:col>6</xdr:col>
      <xdr:colOff>381000</xdr:colOff>
      <xdr:row>5</xdr:row>
      <xdr:rowOff>161925</xdr:rowOff>
    </xdr:to>
    <xdr:sp macro="" textlink="">
      <xdr:nvSpPr>
        <xdr:cNvPr id="4" name="Rectangle: Rounded Corners 3">
          <a:extLst>
            <a:ext uri="{FF2B5EF4-FFF2-40B4-BE49-F238E27FC236}">
              <a16:creationId xmlns:a16="http://schemas.microsoft.com/office/drawing/2014/main" id="{0CE326B0-966C-4804-A4B5-6A8ABE6B91E2}"/>
            </a:ext>
          </a:extLst>
        </xdr:cNvPr>
        <xdr:cNvSpPr/>
      </xdr:nvSpPr>
      <xdr:spPr bwMode="auto">
        <a:xfrm>
          <a:off x="1638300" y="114300"/>
          <a:ext cx="3695700" cy="1152525"/>
        </a:xfrm>
        <a:prstGeom prst="roundRect">
          <a:avLst/>
        </a:prstGeom>
        <a:solidFill>
          <a:schemeClr val="accent2"/>
        </a:solidFill>
        <a:ln w="28575" cap="flat" cmpd="sng" algn="ctr">
          <a:solidFill>
            <a:schemeClr val="accent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1" i="0" u="none" strike="noStrike" cap="none" normalizeH="0" baseline="0">
              <a:ln>
                <a:noFill/>
              </a:ln>
              <a:solidFill>
                <a:schemeClr val="tx1"/>
              </a:solidFill>
              <a:effectLst/>
              <a:latin typeface="+mj-lt"/>
            </a:rPr>
            <a:t>IMPORTANT NOTE</a:t>
          </a:r>
        </a:p>
        <a:p>
          <a:pPr marL="0" marR="0" indent="0" algn="ctr" defTabSz="914400" rtl="0" eaLnBrk="0" fontAlgn="base" latinLnBrk="0" hangingPunct="0">
            <a:lnSpc>
              <a:spcPct val="100000"/>
            </a:lnSpc>
            <a:spcBef>
              <a:spcPct val="0"/>
            </a:spcBef>
            <a:spcAft>
              <a:spcPct val="0"/>
            </a:spcAft>
            <a:buClrTx/>
            <a:buSzTx/>
            <a:buFontTx/>
            <a:buNone/>
            <a:tabLst/>
          </a:pPr>
          <a:endParaRPr kumimoji="0" lang="en-AU" sz="1100" b="1" i="0"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1" i="0" u="none" strike="noStrike" cap="none" normalizeH="0" baseline="0">
              <a:ln>
                <a:noFill/>
              </a:ln>
              <a:solidFill>
                <a:schemeClr val="tx1"/>
              </a:solidFill>
              <a:effectLst/>
              <a:latin typeface="+mj-lt"/>
            </a:rPr>
            <a:t>HIDE THIS SHEET BEFORE DISTRIBUTION</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To hide the sheet, go to Review &gt; Unprotect Workbook and use password: </a:t>
          </a:r>
          <a:r>
            <a:rPr kumimoji="0" lang="en-AU" sz="1100" b="0" i="1" u="none" strike="noStrike" cap="none" normalizeH="0" baseline="0">
              <a:ln>
                <a:noFill/>
              </a:ln>
              <a:solidFill>
                <a:schemeClr val="tx1"/>
              </a:solidFill>
              <a:effectLst/>
              <a:latin typeface="+mj-lt"/>
            </a:rPr>
            <a:t>AACmodel2019</a:t>
          </a:r>
          <a:r>
            <a:rPr kumimoji="0" lang="en-AU" sz="1100" b="0" i="0" u="none" strike="noStrike" cap="none" normalizeH="0" baseline="0">
              <a:ln>
                <a:noFill/>
              </a:ln>
              <a:solidFill>
                <a:schemeClr val="tx1"/>
              </a:solidFill>
              <a:effectLst/>
              <a:latin typeface="+mj-lt"/>
            </a:rPr>
            <a:t>. Then hide this sheet by right-clicking on the tab name.</a:t>
          </a:r>
          <a:endParaRPr kumimoji="0" lang="en-AU" sz="1100" b="0" i="1" u="none" strike="noStrike" cap="none" normalizeH="0" baseline="0">
            <a:ln>
              <a:noFill/>
            </a:ln>
            <a:solidFill>
              <a:schemeClr val="tx1"/>
            </a:solidFill>
            <a:effectLst/>
            <a:latin typeface="+mj-lt"/>
          </a:endParaRPr>
        </a:p>
      </xdr:txBody>
    </xdr:sp>
    <xdr:clientData/>
  </xdr:twoCellAnchor>
  <xdr:twoCellAnchor>
    <xdr:from>
      <xdr:col>3</xdr:col>
      <xdr:colOff>447676</xdr:colOff>
      <xdr:row>13</xdr:row>
      <xdr:rowOff>152400</xdr:rowOff>
    </xdr:from>
    <xdr:to>
      <xdr:col>6</xdr:col>
      <xdr:colOff>161926</xdr:colOff>
      <xdr:row>23</xdr:row>
      <xdr:rowOff>171450</xdr:rowOff>
    </xdr:to>
    <xdr:sp macro="" textlink="">
      <xdr:nvSpPr>
        <xdr:cNvPr id="5" name="Rectangle: Rounded Corners 4">
          <a:extLst>
            <a:ext uri="{FF2B5EF4-FFF2-40B4-BE49-F238E27FC236}">
              <a16:creationId xmlns:a16="http://schemas.microsoft.com/office/drawing/2014/main" id="{CEFFB74C-99E7-4CB5-AB11-64C172CAD257}"/>
            </a:ext>
          </a:extLst>
        </xdr:cNvPr>
        <xdr:cNvSpPr/>
      </xdr:nvSpPr>
      <xdr:spPr bwMode="auto">
        <a:xfrm>
          <a:off x="3286126" y="2933700"/>
          <a:ext cx="1828800" cy="2114550"/>
        </a:xfrm>
        <a:prstGeom prst="roundRect">
          <a:avLst/>
        </a:prstGeom>
        <a:solidFill>
          <a:schemeClr val="bg2"/>
        </a:solidFill>
        <a:ln w="28575" cap="flat" cmpd="sng" algn="ctr">
          <a:solidFill>
            <a:schemeClr val="tx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100" b="1" i="0" u="none" strike="noStrike" cap="none" normalizeH="0" baseline="0">
              <a:ln>
                <a:noFill/>
              </a:ln>
              <a:solidFill>
                <a:schemeClr val="tx1"/>
              </a:solidFill>
              <a:effectLst/>
              <a:latin typeface="+mj-lt"/>
            </a:rPr>
            <a:t>INSTRUCTIONS</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Please copy from the corresponding CONSOLIDATED sheet in the Regional Tool.</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1" u="none" strike="noStrike" cap="none" normalizeH="0" baseline="0">
              <a:ln>
                <a:noFill/>
              </a:ln>
              <a:solidFill>
                <a:schemeClr val="tx1"/>
              </a:solidFill>
              <a:effectLst/>
              <a:latin typeface="+mj-lt"/>
            </a:rPr>
            <a:t>For more information, please see Chapter 5 of the Model and Tool Supporting Documentation, May 2019.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xdr:row>
      <xdr:rowOff>66676</xdr:rowOff>
    </xdr:from>
    <xdr:to>
      <xdr:col>4</xdr:col>
      <xdr:colOff>533400</xdr:colOff>
      <xdr:row>6</xdr:row>
      <xdr:rowOff>57151</xdr:rowOff>
    </xdr:to>
    <xdr:sp macro="" textlink="">
      <xdr:nvSpPr>
        <xdr:cNvPr id="3" name="Rectangle: Rounded Corners 2">
          <a:extLst>
            <a:ext uri="{FF2B5EF4-FFF2-40B4-BE49-F238E27FC236}">
              <a16:creationId xmlns:a16="http://schemas.microsoft.com/office/drawing/2014/main" id="{A731AA1F-B0C0-4998-A2DC-490EF365661C}"/>
            </a:ext>
          </a:extLst>
        </xdr:cNvPr>
        <xdr:cNvSpPr/>
      </xdr:nvSpPr>
      <xdr:spPr bwMode="auto">
        <a:xfrm>
          <a:off x="76200" y="323851"/>
          <a:ext cx="3695700" cy="1104900"/>
        </a:xfrm>
        <a:prstGeom prst="roundRect">
          <a:avLst/>
        </a:prstGeom>
        <a:solidFill>
          <a:schemeClr val="accent2"/>
        </a:solidFill>
        <a:ln w="28575" cap="flat" cmpd="sng" algn="ctr">
          <a:solidFill>
            <a:schemeClr val="accent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1" i="0" u="none" strike="noStrike" cap="none" normalizeH="0" baseline="0">
              <a:ln>
                <a:noFill/>
              </a:ln>
              <a:solidFill>
                <a:schemeClr val="tx1"/>
              </a:solidFill>
              <a:effectLst/>
              <a:latin typeface="+mj-lt"/>
            </a:rPr>
            <a:t>IMPORTANT NOTE</a:t>
          </a:r>
        </a:p>
        <a:p>
          <a:pPr marL="0" marR="0" indent="0" algn="ctr" defTabSz="914400" rtl="0" eaLnBrk="0" fontAlgn="base" latinLnBrk="0" hangingPunct="0">
            <a:lnSpc>
              <a:spcPct val="100000"/>
            </a:lnSpc>
            <a:spcBef>
              <a:spcPct val="0"/>
            </a:spcBef>
            <a:spcAft>
              <a:spcPct val="0"/>
            </a:spcAft>
            <a:buClrTx/>
            <a:buSzTx/>
            <a:buFontTx/>
            <a:buNone/>
            <a:tabLst/>
          </a:pPr>
          <a:endParaRPr kumimoji="0" lang="en-AU" sz="1100" b="1" i="0"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1" i="0" u="none" strike="noStrike" cap="none" normalizeH="0" baseline="0">
              <a:ln>
                <a:noFill/>
              </a:ln>
              <a:solidFill>
                <a:schemeClr val="tx1"/>
              </a:solidFill>
              <a:effectLst/>
              <a:latin typeface="+mj-lt"/>
            </a:rPr>
            <a:t>HIDE THIS SHEET BEFORE DISTRIBUTION</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To hide the sheet, go to Review &gt; Unprotect Workbook and use password: </a:t>
          </a:r>
          <a:r>
            <a:rPr kumimoji="0" lang="en-AU" sz="1100" b="0" i="1" u="none" strike="noStrike" cap="none" normalizeH="0" baseline="0">
              <a:ln>
                <a:noFill/>
              </a:ln>
              <a:solidFill>
                <a:schemeClr val="tx1"/>
              </a:solidFill>
              <a:effectLst/>
              <a:latin typeface="+mj-lt"/>
            </a:rPr>
            <a:t>AACmodel2019</a:t>
          </a:r>
          <a:r>
            <a:rPr kumimoji="0" lang="en-AU" sz="1100" b="0" i="0" u="none" strike="noStrike" cap="none" normalizeH="0" baseline="0">
              <a:ln>
                <a:noFill/>
              </a:ln>
              <a:solidFill>
                <a:schemeClr val="tx1"/>
              </a:solidFill>
              <a:effectLst/>
              <a:latin typeface="+mj-lt"/>
            </a:rPr>
            <a:t>. Then hide this sheet by right-clicking on the tab name.</a:t>
          </a:r>
          <a:endParaRPr kumimoji="0" lang="en-AU" sz="1100" b="0" i="1" u="none" strike="noStrike" cap="none" normalizeH="0" baseline="0">
            <a:ln>
              <a:noFill/>
            </a:ln>
            <a:solidFill>
              <a:schemeClr val="tx1"/>
            </a:solidFill>
            <a:effectLst/>
            <a:latin typeface="+mj-lt"/>
          </a:endParaRPr>
        </a:p>
      </xdr:txBody>
    </xdr:sp>
    <xdr:clientData/>
  </xdr:twoCellAnchor>
  <xdr:twoCellAnchor>
    <xdr:from>
      <xdr:col>5</xdr:col>
      <xdr:colOff>38100</xdr:colOff>
      <xdr:row>1</xdr:row>
      <xdr:rowOff>85725</xdr:rowOff>
    </xdr:from>
    <xdr:to>
      <xdr:col>22</xdr:col>
      <xdr:colOff>561975</xdr:colOff>
      <xdr:row>5</xdr:row>
      <xdr:rowOff>123825</xdr:rowOff>
    </xdr:to>
    <xdr:sp macro="" textlink="">
      <xdr:nvSpPr>
        <xdr:cNvPr id="4" name="Rectangle: Rounded Corners 3">
          <a:extLst>
            <a:ext uri="{FF2B5EF4-FFF2-40B4-BE49-F238E27FC236}">
              <a16:creationId xmlns:a16="http://schemas.microsoft.com/office/drawing/2014/main" id="{9E00DC1A-32E9-4B8B-BAB1-57832C053891}"/>
            </a:ext>
          </a:extLst>
        </xdr:cNvPr>
        <xdr:cNvSpPr/>
      </xdr:nvSpPr>
      <xdr:spPr bwMode="auto">
        <a:xfrm>
          <a:off x="4076700" y="342900"/>
          <a:ext cx="6191250" cy="942975"/>
        </a:xfrm>
        <a:prstGeom prst="roundRect">
          <a:avLst/>
        </a:prstGeom>
        <a:solidFill>
          <a:schemeClr val="bg2"/>
        </a:solidFill>
        <a:ln w="28575" cap="flat" cmpd="sng" algn="ctr">
          <a:solidFill>
            <a:schemeClr val="tx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100" b="1" i="0" u="none" strike="noStrike" cap="none" normalizeH="0" baseline="0">
              <a:ln>
                <a:noFill/>
              </a:ln>
              <a:solidFill>
                <a:schemeClr val="tx1"/>
              </a:solidFill>
              <a:effectLst/>
              <a:latin typeface="+mj-lt"/>
            </a:rPr>
            <a:t>INSTRUCTIONS</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Please copy from cell rage </a:t>
          </a:r>
          <a:r>
            <a:rPr kumimoji="0" lang="en-AU" sz="1100" b="1" i="0" u="none" strike="noStrike" cap="none" normalizeH="0" baseline="0">
              <a:ln>
                <a:noFill/>
              </a:ln>
              <a:solidFill>
                <a:schemeClr val="tx1"/>
              </a:solidFill>
              <a:effectLst/>
              <a:latin typeface="+mj-lt"/>
            </a:rPr>
            <a:t>P9:AF482 in the POPULATION sheet </a:t>
          </a:r>
          <a:r>
            <a:rPr kumimoji="0" lang="en-AU" sz="1100" b="0" i="0" u="none" strike="noStrike" cap="none" normalizeH="0" baseline="0">
              <a:ln>
                <a:noFill/>
              </a:ln>
              <a:solidFill>
                <a:schemeClr val="tx1"/>
              </a:solidFill>
              <a:effectLst/>
              <a:latin typeface="+mj-lt"/>
            </a:rPr>
            <a:t>of the Regional Tool.</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1" u="none" strike="noStrike" cap="none" normalizeH="0" baseline="0">
              <a:ln>
                <a:noFill/>
              </a:ln>
              <a:solidFill>
                <a:schemeClr val="tx1"/>
              </a:solidFill>
              <a:effectLst/>
              <a:latin typeface="+mj-lt"/>
            </a:rPr>
            <a:t>For more information, please see Chapter 5 of the Model and Tool Supporting Documentation, May 2019.</a:t>
          </a:r>
        </a:p>
      </xdr:txBody>
    </xdr:sp>
    <xdr:clientData/>
  </xdr:twoCellAnchor>
  <xdr:twoCellAnchor>
    <xdr:from>
      <xdr:col>30</xdr:col>
      <xdr:colOff>38099</xdr:colOff>
      <xdr:row>1</xdr:row>
      <xdr:rowOff>133350</xdr:rowOff>
    </xdr:from>
    <xdr:to>
      <xdr:col>44</xdr:col>
      <xdr:colOff>352425</xdr:colOff>
      <xdr:row>5</xdr:row>
      <xdr:rowOff>142875</xdr:rowOff>
    </xdr:to>
    <xdr:sp macro="" textlink="">
      <xdr:nvSpPr>
        <xdr:cNvPr id="5" name="Rectangle: Rounded Corners 4">
          <a:extLst>
            <a:ext uri="{FF2B5EF4-FFF2-40B4-BE49-F238E27FC236}">
              <a16:creationId xmlns:a16="http://schemas.microsoft.com/office/drawing/2014/main" id="{0EDEF643-C9DE-4CAF-AC61-09ACA712B360}"/>
            </a:ext>
          </a:extLst>
        </xdr:cNvPr>
        <xdr:cNvSpPr/>
      </xdr:nvSpPr>
      <xdr:spPr bwMode="auto">
        <a:xfrm>
          <a:off x="15525749" y="390525"/>
          <a:ext cx="8848726" cy="914400"/>
        </a:xfrm>
        <a:prstGeom prst="roundRect">
          <a:avLst/>
        </a:prstGeom>
        <a:solidFill>
          <a:schemeClr val="bg2"/>
        </a:solidFill>
        <a:ln w="28575" cap="flat" cmpd="sng" algn="ctr">
          <a:solidFill>
            <a:schemeClr val="tx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100" b="1" i="0" u="none" strike="noStrike" cap="none" normalizeH="0" baseline="0">
              <a:ln>
                <a:noFill/>
              </a:ln>
              <a:solidFill>
                <a:schemeClr val="tx1"/>
              </a:solidFill>
              <a:effectLst/>
              <a:latin typeface="+mj-lt"/>
            </a:rPr>
            <a:t>INSTRUCTIONS</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Please copy from cell rage </a:t>
          </a:r>
          <a:r>
            <a:rPr kumimoji="0" lang="en-AU" sz="1100" b="1" i="0" u="none" strike="noStrike" cap="none" normalizeH="0" baseline="0">
              <a:ln>
                <a:noFill/>
              </a:ln>
              <a:solidFill>
                <a:schemeClr val="tx1"/>
              </a:solidFill>
              <a:effectLst/>
              <a:latin typeface="+mj-lt"/>
            </a:rPr>
            <a:t>Z165:AN204 of the SUPPLY sheet </a:t>
          </a:r>
          <a:r>
            <a:rPr kumimoji="0" lang="en-AU" sz="1100" b="0" i="0" u="none" strike="noStrike" cap="none" normalizeH="0" baseline="0">
              <a:ln>
                <a:noFill/>
              </a:ln>
              <a:solidFill>
                <a:schemeClr val="tx1"/>
              </a:solidFill>
              <a:effectLst/>
              <a:latin typeface="+mj-lt"/>
            </a:rPr>
            <a:t>of the Regional Tool.</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1" u="none" strike="noStrike" cap="none" normalizeH="0" baseline="0">
              <a:ln>
                <a:noFill/>
              </a:ln>
              <a:solidFill>
                <a:schemeClr val="tx1"/>
              </a:solidFill>
              <a:effectLst/>
              <a:latin typeface="+mj-lt"/>
            </a:rPr>
            <a:t>For more information, please see Chapter 5 of the Model and Tool Supporting Documentation, May 2019.</a:t>
          </a:r>
        </a:p>
      </xdr:txBody>
    </xdr:sp>
    <xdr:clientData/>
  </xdr:twoCellAnchor>
  <xdr:twoCellAnchor>
    <xdr:from>
      <xdr:col>51</xdr:col>
      <xdr:colOff>152400</xdr:colOff>
      <xdr:row>1</xdr:row>
      <xdr:rowOff>104775</xdr:rowOff>
    </xdr:from>
    <xdr:to>
      <xdr:col>63</xdr:col>
      <xdr:colOff>552450</xdr:colOff>
      <xdr:row>5</xdr:row>
      <xdr:rowOff>200025</xdr:rowOff>
    </xdr:to>
    <xdr:sp macro="" textlink="">
      <xdr:nvSpPr>
        <xdr:cNvPr id="6" name="Rectangle: Rounded Corners 5">
          <a:extLst>
            <a:ext uri="{FF2B5EF4-FFF2-40B4-BE49-F238E27FC236}">
              <a16:creationId xmlns:a16="http://schemas.microsoft.com/office/drawing/2014/main" id="{D3E596E5-1105-48E0-8885-308421DCFF3D}"/>
            </a:ext>
          </a:extLst>
        </xdr:cNvPr>
        <xdr:cNvSpPr/>
      </xdr:nvSpPr>
      <xdr:spPr bwMode="auto">
        <a:xfrm>
          <a:off x="29260800" y="361950"/>
          <a:ext cx="7715250" cy="1000125"/>
        </a:xfrm>
        <a:prstGeom prst="roundRect">
          <a:avLst/>
        </a:prstGeom>
        <a:solidFill>
          <a:schemeClr val="bg2"/>
        </a:solidFill>
        <a:ln w="28575" cap="flat" cmpd="sng" algn="ctr">
          <a:solidFill>
            <a:schemeClr val="tx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100" b="1" i="0" u="none" strike="noStrike" cap="none" normalizeH="0" baseline="0">
              <a:ln>
                <a:noFill/>
              </a:ln>
              <a:solidFill>
                <a:schemeClr val="tx1"/>
              </a:solidFill>
              <a:effectLst/>
              <a:latin typeface="+mj-lt"/>
            </a:rPr>
            <a:t>INSTRUCTIONS</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Please copy from cell rage </a:t>
          </a:r>
          <a:r>
            <a:rPr kumimoji="0" lang="en-AU" sz="1100" b="1" i="0" u="none" strike="noStrike" cap="none" normalizeH="0" baseline="0">
              <a:ln>
                <a:noFill/>
              </a:ln>
              <a:solidFill>
                <a:schemeClr val="tx1"/>
              </a:solidFill>
              <a:effectLst/>
              <a:latin typeface="+mj-lt"/>
            </a:rPr>
            <a:t>CQ17:EI95 of the LOADINGS sheet </a:t>
          </a:r>
          <a:r>
            <a:rPr kumimoji="0" lang="en-AU" sz="1100" b="0" i="0" u="none" strike="noStrike" cap="none" normalizeH="0" baseline="0">
              <a:ln>
                <a:noFill/>
              </a:ln>
              <a:solidFill>
                <a:schemeClr val="tx1"/>
              </a:solidFill>
              <a:effectLst/>
              <a:latin typeface="+mj-lt"/>
            </a:rPr>
            <a:t>of the Regional Tool.</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1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1" u="none" strike="noStrike" cap="none" normalizeH="0" baseline="0">
              <a:ln>
                <a:noFill/>
              </a:ln>
              <a:solidFill>
                <a:schemeClr val="tx1"/>
              </a:solidFill>
              <a:effectLst/>
              <a:latin typeface="+mj-lt"/>
            </a:rPr>
            <a:t>For more information, please see Chapter 5 of the Model and Tool Supporting Documentation, May 2019.</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150</xdr:row>
      <xdr:rowOff>104773</xdr:rowOff>
    </xdr:from>
    <xdr:to>
      <xdr:col>6</xdr:col>
      <xdr:colOff>333375</xdr:colOff>
      <xdr:row>165</xdr:row>
      <xdr:rowOff>142875</xdr:rowOff>
    </xdr:to>
    <xdr:graphicFrame macro="">
      <xdr:nvGraphicFramePr>
        <xdr:cNvPr id="3" name="Chart 2">
          <a:extLst>
            <a:ext uri="{FF2B5EF4-FFF2-40B4-BE49-F238E27FC236}">
              <a16:creationId xmlns:a16="http://schemas.microsoft.com/office/drawing/2014/main" id="{741564D0-1BAC-4973-90C7-D0976369C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51288</xdr:colOff>
      <xdr:row>110</xdr:row>
      <xdr:rowOff>142961</xdr:rowOff>
    </xdr:from>
    <xdr:to>
      <xdr:col>17</xdr:col>
      <xdr:colOff>571500</xdr:colOff>
      <xdr:row>126</xdr:row>
      <xdr:rowOff>1</xdr:rowOff>
    </xdr:to>
    <xdr:graphicFrame macro="">
      <xdr:nvGraphicFramePr>
        <xdr:cNvPr id="5" name="Chart 4">
          <a:extLst>
            <a:ext uri="{FF2B5EF4-FFF2-40B4-BE49-F238E27FC236}">
              <a16:creationId xmlns:a16="http://schemas.microsoft.com/office/drawing/2014/main" id="{60742225-5142-4C77-AD2B-6B3E834738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47625</xdr:colOff>
      <xdr:row>73</xdr:row>
      <xdr:rowOff>209548</xdr:rowOff>
    </xdr:from>
    <xdr:to>
      <xdr:col>17</xdr:col>
      <xdr:colOff>323850</xdr:colOff>
      <xdr:row>95</xdr:row>
      <xdr:rowOff>9525</xdr:rowOff>
    </xdr:to>
    <xdr:graphicFrame macro="">
      <xdr:nvGraphicFramePr>
        <xdr:cNvPr id="16" name="Chart 15">
          <a:extLst>
            <a:ext uri="{FF2B5EF4-FFF2-40B4-BE49-F238E27FC236}">
              <a16:creationId xmlns:a16="http://schemas.microsoft.com/office/drawing/2014/main" id="{7D19E4A2-60D9-4F8A-BC93-9EB85D36D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82780</xdr:colOff>
      <xdr:row>168</xdr:row>
      <xdr:rowOff>95850</xdr:rowOff>
    </xdr:from>
    <xdr:to>
      <xdr:col>13</xdr:col>
      <xdr:colOff>194049</xdr:colOff>
      <xdr:row>184</xdr:row>
      <xdr:rowOff>145878</xdr:rowOff>
    </xdr:to>
    <xdr:graphicFrame macro="">
      <xdr:nvGraphicFramePr>
        <xdr:cNvPr id="48" name="Chart 47">
          <a:extLst>
            <a:ext uri="{FF2B5EF4-FFF2-40B4-BE49-F238E27FC236}">
              <a16:creationId xmlns:a16="http://schemas.microsoft.com/office/drawing/2014/main" id="{207E9353-8F72-43B0-A1AA-F9375916D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44823</xdr:colOff>
      <xdr:row>202</xdr:row>
      <xdr:rowOff>117333</xdr:rowOff>
    </xdr:from>
    <xdr:to>
      <xdr:col>2</xdr:col>
      <xdr:colOff>255019</xdr:colOff>
      <xdr:row>213</xdr:row>
      <xdr:rowOff>141425</xdr:rowOff>
    </xdr:to>
    <xdr:graphicFrame macro="">
      <xdr:nvGraphicFramePr>
        <xdr:cNvPr id="49" name="Chart 48">
          <a:extLst>
            <a:ext uri="{FF2B5EF4-FFF2-40B4-BE49-F238E27FC236}">
              <a16:creationId xmlns:a16="http://schemas.microsoft.com/office/drawing/2014/main" id="{DC0A5340-9F80-47E2-8E39-1E2014139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139659</xdr:colOff>
      <xdr:row>202</xdr:row>
      <xdr:rowOff>183836</xdr:rowOff>
    </xdr:from>
    <xdr:to>
      <xdr:col>9</xdr:col>
      <xdr:colOff>591498</xdr:colOff>
      <xdr:row>213</xdr:row>
      <xdr:rowOff>145794</xdr:rowOff>
    </xdr:to>
    <xdr:graphicFrame macro="">
      <xdr:nvGraphicFramePr>
        <xdr:cNvPr id="50" name="Chart 49">
          <a:extLst>
            <a:ext uri="{FF2B5EF4-FFF2-40B4-BE49-F238E27FC236}">
              <a16:creationId xmlns:a16="http://schemas.microsoft.com/office/drawing/2014/main" id="{F3FFC56D-5B74-42A9-B8EE-517C90D8E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526459</xdr:colOff>
      <xdr:row>202</xdr:row>
      <xdr:rowOff>197164</xdr:rowOff>
    </xdr:from>
    <xdr:to>
      <xdr:col>17</xdr:col>
      <xdr:colOff>312952</xdr:colOff>
      <xdr:row>213</xdr:row>
      <xdr:rowOff>152400</xdr:rowOff>
    </xdr:to>
    <xdr:graphicFrame macro="">
      <xdr:nvGraphicFramePr>
        <xdr:cNvPr id="51" name="Chart 50">
          <a:extLst>
            <a:ext uri="{FF2B5EF4-FFF2-40B4-BE49-F238E27FC236}">
              <a16:creationId xmlns:a16="http://schemas.microsoft.com/office/drawing/2014/main" id="{4C285A89-45AE-4BAC-91E7-82CC2828A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27837</xdr:colOff>
      <xdr:row>216</xdr:row>
      <xdr:rowOff>3947</xdr:rowOff>
    </xdr:from>
    <xdr:to>
      <xdr:col>2</xdr:col>
      <xdr:colOff>241362</xdr:colOff>
      <xdr:row>226</xdr:row>
      <xdr:rowOff>180203</xdr:rowOff>
    </xdr:to>
    <xdr:graphicFrame macro="">
      <xdr:nvGraphicFramePr>
        <xdr:cNvPr id="52" name="Chart 51">
          <a:extLst>
            <a:ext uri="{FF2B5EF4-FFF2-40B4-BE49-F238E27FC236}">
              <a16:creationId xmlns:a16="http://schemas.microsoft.com/office/drawing/2014/main" id="{49D32627-93D2-4FD7-A974-859F4BA92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570527</xdr:colOff>
      <xdr:row>215</xdr:row>
      <xdr:rowOff>194680</xdr:rowOff>
    </xdr:from>
    <xdr:to>
      <xdr:col>10</xdr:col>
      <xdr:colOff>409825</xdr:colOff>
      <xdr:row>226</xdr:row>
      <xdr:rowOff>164990</xdr:rowOff>
    </xdr:to>
    <xdr:graphicFrame macro="">
      <xdr:nvGraphicFramePr>
        <xdr:cNvPr id="53" name="Chart 52">
          <a:extLst>
            <a:ext uri="{FF2B5EF4-FFF2-40B4-BE49-F238E27FC236}">
              <a16:creationId xmlns:a16="http://schemas.microsoft.com/office/drawing/2014/main" id="{BA5CA45D-804D-4F1B-9F20-72E04E458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100810</xdr:colOff>
      <xdr:row>216</xdr:row>
      <xdr:rowOff>16864</xdr:rowOff>
    </xdr:from>
    <xdr:to>
      <xdr:col>17</xdr:col>
      <xdr:colOff>453013</xdr:colOff>
      <xdr:row>227</xdr:row>
      <xdr:rowOff>48907</xdr:rowOff>
    </xdr:to>
    <xdr:graphicFrame macro="">
      <xdr:nvGraphicFramePr>
        <xdr:cNvPr id="54" name="Chart 53">
          <a:extLst>
            <a:ext uri="{FF2B5EF4-FFF2-40B4-BE49-F238E27FC236}">
              <a16:creationId xmlns:a16="http://schemas.microsoft.com/office/drawing/2014/main" id="{0B033138-57AB-490B-B553-4A579C8D9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487662</xdr:colOff>
      <xdr:row>150</xdr:row>
      <xdr:rowOff>167760</xdr:rowOff>
    </xdr:from>
    <xdr:to>
      <xdr:col>17</xdr:col>
      <xdr:colOff>282232</xdr:colOff>
      <xdr:row>165</xdr:row>
      <xdr:rowOff>158235</xdr:rowOff>
    </xdr:to>
    <xdr:graphicFrame macro="">
      <xdr:nvGraphicFramePr>
        <xdr:cNvPr id="41" name="Chart 40">
          <a:extLst>
            <a:ext uri="{FF2B5EF4-FFF2-40B4-BE49-F238E27FC236}">
              <a16:creationId xmlns:a16="http://schemas.microsoft.com/office/drawing/2014/main" id="{1BBEAE91-BB03-4540-AF32-3889F1A02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371475</xdr:colOff>
      <xdr:row>169</xdr:row>
      <xdr:rowOff>8581</xdr:rowOff>
    </xdr:from>
    <xdr:to>
      <xdr:col>17</xdr:col>
      <xdr:colOff>561974</xdr:colOff>
      <xdr:row>183</xdr:row>
      <xdr:rowOff>42906</xdr:rowOff>
    </xdr:to>
    <xdr:sp macro="" textlink="">
      <xdr:nvSpPr>
        <xdr:cNvPr id="4" name="Rectangle 3">
          <a:extLst>
            <a:ext uri="{FF2B5EF4-FFF2-40B4-BE49-F238E27FC236}">
              <a16:creationId xmlns:a16="http://schemas.microsoft.com/office/drawing/2014/main" id="{1C494BA3-FE06-4949-AFA8-0876E046A689}"/>
            </a:ext>
          </a:extLst>
        </xdr:cNvPr>
        <xdr:cNvSpPr/>
      </xdr:nvSpPr>
      <xdr:spPr bwMode="auto">
        <a:xfrm>
          <a:off x="10372725" y="41347081"/>
          <a:ext cx="2914649" cy="2968025"/>
        </a:xfrm>
        <a:prstGeom prst="rect">
          <a:avLst/>
        </a:prstGeom>
        <a:solidFill>
          <a:schemeClr val="accent3">
            <a:lumMod val="20000"/>
            <a:lumOff val="80000"/>
          </a:schemeClr>
        </a:solidFill>
        <a:ln w="9525" cap="flat" cmpd="sng" algn="ctr">
          <a:solidFill>
            <a:schemeClr val="accent3"/>
          </a:solidFill>
          <a:prstDash val="dash"/>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lang="en-AU" sz="1100" b="1" i="0" u="none" strike="noStrike">
              <a:effectLst/>
              <a:latin typeface="+mn-lt"/>
              <a:ea typeface="+mn-ea"/>
              <a:cs typeface="+mn-cs"/>
            </a:rPr>
            <a:t>INTERPRETING FIGURE 4.3</a:t>
          </a:r>
        </a:p>
        <a:p>
          <a:pPr marL="0" marR="0" indent="0" algn="ctr" defTabSz="914400" rtl="0" eaLnBrk="0" fontAlgn="base" latinLnBrk="0" hangingPunct="0">
            <a:lnSpc>
              <a:spcPct val="100000"/>
            </a:lnSpc>
            <a:spcBef>
              <a:spcPct val="0"/>
            </a:spcBef>
            <a:spcAft>
              <a:spcPct val="0"/>
            </a:spcAft>
            <a:buClrTx/>
            <a:buSzTx/>
            <a:buFontTx/>
            <a:buNone/>
            <a:tabLst/>
          </a:pPr>
          <a:endParaRPr lang="en-AU" sz="1100" b="0" i="0" u="none" strike="noStrike">
            <a:effectLst/>
            <a:latin typeface="+mn-lt"/>
            <a:ea typeface="+mn-ea"/>
            <a:cs typeface="+mn-cs"/>
          </a:endParaRPr>
        </a:p>
        <a:p>
          <a:pPr marL="0" marR="0" indent="0" algn="ctr" defTabSz="914400" rtl="0" eaLnBrk="0" fontAlgn="base" latinLnBrk="0" hangingPunct="0">
            <a:lnSpc>
              <a:spcPct val="100000"/>
            </a:lnSpc>
            <a:spcBef>
              <a:spcPct val="0"/>
            </a:spcBef>
            <a:spcAft>
              <a:spcPct val="0"/>
            </a:spcAft>
            <a:buClrTx/>
            <a:buSzTx/>
            <a:buFontTx/>
            <a:buNone/>
            <a:tabLst/>
          </a:pPr>
          <a:r>
            <a:rPr lang="en-AU" sz="1100" b="0" i="0" u="none" strike="noStrike">
              <a:effectLst/>
              <a:latin typeface="+mn-lt"/>
              <a:ea typeface="+mn-ea"/>
              <a:cs typeface="+mn-cs"/>
            </a:rPr>
            <a:t>The shaded orange region refers to the workforce gap and can either indicate a supply shortfall or an oversupply. If supply is ABOVE demand, then the shaded region represents an oversupply. If</a:t>
          </a:r>
          <a:r>
            <a:rPr lang="en-AU" sz="1100" b="0" i="0" u="none" strike="noStrike" baseline="0">
              <a:effectLst/>
              <a:latin typeface="+mn-lt"/>
              <a:ea typeface="+mn-ea"/>
              <a:cs typeface="+mn-cs"/>
            </a:rPr>
            <a:t> </a:t>
          </a:r>
          <a:r>
            <a:rPr lang="en-AU" sz="1100" b="0" i="0" u="none" strike="noStrike">
              <a:effectLst/>
              <a:latin typeface="+mn-lt"/>
              <a:ea typeface="+mn-ea"/>
              <a:cs typeface="+mn-cs"/>
            </a:rPr>
            <a:t>supply is BELOW demand, then the shaded region represents a supply shortfall.</a:t>
          </a:r>
          <a:r>
            <a:rPr lang="en-AU" sz="1100"/>
            <a:t> </a:t>
          </a:r>
        </a:p>
        <a:p>
          <a:pPr marL="0" marR="0" indent="0" algn="ctr" defTabSz="914400" rtl="0" eaLnBrk="0" fontAlgn="base" latinLnBrk="0" hangingPunct="0">
            <a:lnSpc>
              <a:spcPct val="100000"/>
            </a:lnSpc>
            <a:spcBef>
              <a:spcPct val="0"/>
            </a:spcBef>
            <a:spcAft>
              <a:spcPct val="0"/>
            </a:spcAft>
            <a:buClrTx/>
            <a:buSzTx/>
            <a:buFontTx/>
            <a:buNone/>
            <a:tabLst/>
          </a:pPr>
          <a:endParaRPr kumimoji="0" lang="en-AU" sz="1100" b="0" i="0" u="none" strike="noStrike" cap="none" normalizeH="0" baseline="0">
            <a:ln>
              <a:noFill/>
            </a:ln>
            <a:solidFill>
              <a:schemeClr val="tx1"/>
            </a:solidFill>
            <a:effectLst/>
            <a:latin typeface="Arial" charset="0"/>
          </a:endParaRPr>
        </a:p>
        <a:p>
          <a:pPr marL="0" marR="0" indent="0" algn="ctr" defTabSz="914400" rtl="0" eaLnBrk="0" fontAlgn="base" latinLnBrk="0" hangingPunct="0">
            <a:lnSpc>
              <a:spcPct val="100000"/>
            </a:lnSpc>
            <a:spcBef>
              <a:spcPct val="0"/>
            </a:spcBef>
            <a:spcAft>
              <a:spcPct val="0"/>
            </a:spcAft>
            <a:buClrTx/>
            <a:buSzTx/>
            <a:buFontTx/>
            <a:buNone/>
            <a:tabLst/>
          </a:pPr>
          <a:r>
            <a:rPr lang="en-AU" sz="1100" b="0" i="0" u="none" strike="noStrike">
              <a:effectLst/>
              <a:latin typeface="+mn-lt"/>
              <a:ea typeface="+mn-ea"/>
              <a:cs typeface="+mn-cs"/>
            </a:rPr>
            <a:t>Workforce projections do not include admin/business support staff.</a:t>
          </a:r>
        </a:p>
      </xdr:txBody>
    </xdr:sp>
    <xdr:clientData/>
  </xdr:twoCellAnchor>
  <xdr:twoCellAnchor>
    <xdr:from>
      <xdr:col>11</xdr:col>
      <xdr:colOff>447675</xdr:colOff>
      <xdr:row>188</xdr:row>
      <xdr:rowOff>47625</xdr:rowOff>
    </xdr:from>
    <xdr:to>
      <xdr:col>17</xdr:col>
      <xdr:colOff>354484</xdr:colOff>
      <xdr:row>199</xdr:row>
      <xdr:rowOff>163040</xdr:rowOff>
    </xdr:to>
    <xdr:sp macro="" textlink="">
      <xdr:nvSpPr>
        <xdr:cNvPr id="42" name="Rectangle 41">
          <a:extLst>
            <a:ext uri="{FF2B5EF4-FFF2-40B4-BE49-F238E27FC236}">
              <a16:creationId xmlns:a16="http://schemas.microsoft.com/office/drawing/2014/main" id="{3975763E-0835-4417-BE00-7CA26C262470}"/>
            </a:ext>
          </a:extLst>
        </xdr:cNvPr>
        <xdr:cNvSpPr/>
      </xdr:nvSpPr>
      <xdr:spPr bwMode="auto">
        <a:xfrm>
          <a:off x="9229725" y="45415200"/>
          <a:ext cx="3850159" cy="2420465"/>
        </a:xfrm>
        <a:prstGeom prst="rect">
          <a:avLst/>
        </a:prstGeom>
        <a:solidFill>
          <a:schemeClr val="accent3">
            <a:lumMod val="20000"/>
            <a:lumOff val="80000"/>
          </a:schemeClr>
        </a:solidFill>
        <a:ln w="9525" cap="flat" cmpd="sng" algn="ctr">
          <a:solidFill>
            <a:schemeClr val="accent3"/>
          </a:solidFill>
          <a:prstDash val="dash"/>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lang="en-AU" sz="1100" b="1" i="0" u="none" strike="noStrike">
              <a:effectLst/>
              <a:latin typeface="+mn-lt"/>
              <a:ea typeface="+mn-ea"/>
              <a:cs typeface="+mn-cs"/>
            </a:rPr>
            <a:t>INTERPRETING FIGURE</a:t>
          </a:r>
          <a:r>
            <a:rPr lang="en-AU" sz="1100" b="1" i="0" u="none" strike="noStrike" baseline="0">
              <a:effectLst/>
              <a:latin typeface="+mn-lt"/>
              <a:ea typeface="+mn-ea"/>
              <a:cs typeface="+mn-cs"/>
            </a:rPr>
            <a:t> 4.4</a:t>
          </a:r>
          <a:endParaRPr lang="en-AU" sz="1100" b="1" i="0" u="none" strike="noStrike">
            <a:effectLst/>
            <a:latin typeface="+mn-lt"/>
            <a:ea typeface="+mn-ea"/>
            <a:cs typeface="+mn-cs"/>
          </a:endParaRPr>
        </a:p>
        <a:p>
          <a:pPr marL="0" marR="0" indent="0" algn="ctr" defTabSz="914400" rtl="0" eaLnBrk="0" fontAlgn="base" latinLnBrk="0" hangingPunct="0">
            <a:lnSpc>
              <a:spcPct val="100000"/>
            </a:lnSpc>
            <a:spcBef>
              <a:spcPct val="0"/>
            </a:spcBef>
            <a:spcAft>
              <a:spcPct val="0"/>
            </a:spcAft>
            <a:buClrTx/>
            <a:buSzTx/>
            <a:buFontTx/>
            <a:buNone/>
            <a:tabLst/>
          </a:pPr>
          <a:endParaRPr lang="en-AU" sz="1100" b="0" i="0" u="none" strike="noStrike">
            <a:effectLst/>
            <a:latin typeface="+mn-lt"/>
            <a:ea typeface="+mn-ea"/>
            <a:cs typeface="+mn-cs"/>
          </a:endParaRPr>
        </a:p>
        <a:p>
          <a:pPr marL="0" marR="0" indent="0" algn="ctr" defTabSz="914400" rtl="0" eaLnBrk="0" fontAlgn="base" latinLnBrk="0" hangingPunct="0">
            <a:lnSpc>
              <a:spcPct val="100000"/>
            </a:lnSpc>
            <a:spcBef>
              <a:spcPct val="0"/>
            </a:spcBef>
            <a:spcAft>
              <a:spcPct val="0"/>
            </a:spcAft>
            <a:buClrTx/>
            <a:buSzTx/>
            <a:buFontTx/>
            <a:buNone/>
            <a:tabLst/>
          </a:pPr>
          <a:r>
            <a:rPr lang="en-AU" sz="1100" b="0" i="0" u="none" strike="noStrike">
              <a:effectLst/>
              <a:latin typeface="+mn-lt"/>
              <a:ea typeface="+mn-ea"/>
              <a:cs typeface="+mn-cs"/>
            </a:rPr>
            <a:t>The shaded orange regions below refer to the workforce gap and can either indicate a supply shortfall or an oversupply. If supply is ABOVE demand, then the shaded region represents an oversupply. If</a:t>
          </a:r>
          <a:r>
            <a:rPr lang="en-AU" sz="1100" b="0" i="0" u="none" strike="noStrike" baseline="0">
              <a:effectLst/>
              <a:latin typeface="+mn-lt"/>
              <a:ea typeface="+mn-ea"/>
              <a:cs typeface="+mn-cs"/>
            </a:rPr>
            <a:t> </a:t>
          </a:r>
          <a:r>
            <a:rPr lang="en-AU" sz="1100" b="0" i="0" u="none" strike="noStrike">
              <a:effectLst/>
              <a:latin typeface="+mn-lt"/>
              <a:ea typeface="+mn-ea"/>
              <a:cs typeface="+mn-cs"/>
            </a:rPr>
            <a:t>supply is BELOW demand, then the shaded region represents a supply shortfall.</a:t>
          </a:r>
          <a:r>
            <a:rPr lang="en-AU" sz="1100"/>
            <a:t> </a:t>
          </a:r>
        </a:p>
        <a:p>
          <a:pPr marL="0" marR="0" lvl="0" indent="0" algn="ctr" defTabSz="914400" rtl="0" eaLnBrk="0" fontAlgn="base" latinLnBrk="0" hangingPunct="0">
            <a:lnSpc>
              <a:spcPct val="100000"/>
            </a:lnSpc>
            <a:spcBef>
              <a:spcPct val="0"/>
            </a:spcBef>
            <a:spcAft>
              <a:spcPct val="0"/>
            </a:spcAft>
            <a:buClrTx/>
            <a:buSzTx/>
            <a:buFontTx/>
            <a:buNone/>
            <a:tabLst/>
            <a:defRPr/>
          </a:pPr>
          <a:endParaRPr lang="en-AU" sz="1100" b="0" i="0">
            <a:effectLst/>
            <a:latin typeface="+mn-lt"/>
            <a:ea typeface="+mn-ea"/>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lang="en-AU" sz="1100" b="0" i="0">
              <a:effectLst/>
              <a:latin typeface="+mn-lt"/>
              <a:ea typeface="+mn-ea"/>
              <a:cs typeface="+mn-cs"/>
            </a:rPr>
            <a:t>Workforce projections do not include admin/business support staff.</a:t>
          </a:r>
          <a:endParaRPr lang="en-AU">
            <a:effectLst/>
          </a:endParaRPr>
        </a:p>
      </xdr:txBody>
    </xdr:sp>
    <xdr:clientData/>
  </xdr:twoCellAnchor>
  <xdr:twoCellAnchor>
    <xdr:from>
      <xdr:col>0</xdr:col>
      <xdr:colOff>1743076</xdr:colOff>
      <xdr:row>24</xdr:row>
      <xdr:rowOff>169562</xdr:rowOff>
    </xdr:from>
    <xdr:to>
      <xdr:col>15</xdr:col>
      <xdr:colOff>542925</xdr:colOff>
      <xdr:row>32</xdr:row>
      <xdr:rowOff>142875</xdr:rowOff>
    </xdr:to>
    <xdr:sp macro="" textlink="">
      <xdr:nvSpPr>
        <xdr:cNvPr id="6" name="TextBox 5">
          <a:extLst>
            <a:ext uri="{FF2B5EF4-FFF2-40B4-BE49-F238E27FC236}">
              <a16:creationId xmlns:a16="http://schemas.microsoft.com/office/drawing/2014/main" id="{C4DD1F1F-410B-4B5F-9C52-417C3411C8F4}"/>
            </a:ext>
          </a:extLst>
        </xdr:cNvPr>
        <xdr:cNvSpPr txBox="1"/>
      </xdr:nvSpPr>
      <xdr:spPr>
        <a:xfrm>
          <a:off x="1743076" y="7370462"/>
          <a:ext cx="10296524" cy="1649713"/>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i="1" u="none" strike="noStrike">
              <a:solidFill>
                <a:sysClr val="windowText" lastClr="000000"/>
              </a:solidFill>
              <a:effectLst/>
              <a:latin typeface="+mn-lt"/>
              <a:ea typeface="+mn-ea"/>
              <a:cs typeface="+mn-cs"/>
            </a:rPr>
            <a:t>This report allows adjustments to be made to the model to provide specific workforce projections for the council. Changing any of the model inputs in this report will automatically update the input and output charts that are produced here. </a:t>
          </a:r>
        </a:p>
        <a:p>
          <a:pPr algn="ctr"/>
          <a:endParaRPr lang="en-AU" sz="1400" b="0" i="1" u="none" strike="noStrike">
            <a:solidFill>
              <a:sysClr val="windowText" lastClr="000000"/>
            </a:solidFill>
            <a:effectLst/>
            <a:latin typeface="+mn-lt"/>
            <a:ea typeface="+mn-ea"/>
            <a:cs typeface="+mn-cs"/>
          </a:endParaRPr>
        </a:p>
        <a:p>
          <a:pPr algn="ctr"/>
          <a:r>
            <a:rPr lang="en-AU" sz="1400" b="0" i="1" u="none" strike="noStrike">
              <a:solidFill>
                <a:sysClr val="windowText" lastClr="000000"/>
              </a:solidFill>
              <a:effectLst/>
              <a:latin typeface="+mn-lt"/>
              <a:ea typeface="+mn-ea"/>
              <a:cs typeface="+mn-cs"/>
            </a:rPr>
            <a:t>There are TWO adjustabl</a:t>
          </a:r>
          <a:r>
            <a:rPr lang="en-AU" sz="1400" b="0" i="1" u="none" strike="noStrike" baseline="0">
              <a:solidFill>
                <a:sysClr val="windowText" lastClr="000000"/>
              </a:solidFill>
              <a:effectLst/>
              <a:latin typeface="+mn-lt"/>
              <a:ea typeface="+mn-ea"/>
              <a:cs typeface="+mn-cs"/>
            </a:rPr>
            <a:t>e demand</a:t>
          </a:r>
          <a:r>
            <a:rPr lang="en-AU" sz="1400" b="0" i="1" u="none" strike="noStrike">
              <a:solidFill>
                <a:sysClr val="windowText" lastClr="000000"/>
              </a:solidFill>
              <a:effectLst/>
              <a:latin typeface="+mn-lt"/>
              <a:ea typeface="+mn-ea"/>
              <a:cs typeface="+mn-cs"/>
            </a:rPr>
            <a:t>-side inputs and TWO adjustable supply-side inputs which can be made in Sections 2 and 3 respectively.</a:t>
          </a:r>
          <a:r>
            <a:rPr lang="en-AU" sz="1400" b="0" i="1">
              <a:solidFill>
                <a:sysClr val="windowText" lastClr="000000"/>
              </a:solidFill>
            </a:rPr>
            <a:t> </a:t>
          </a:r>
        </a:p>
      </xdr:txBody>
    </xdr:sp>
    <xdr:clientData/>
  </xdr:twoCellAnchor>
  <xdr:twoCellAnchor>
    <xdr:from>
      <xdr:col>5</xdr:col>
      <xdr:colOff>333374</xdr:colOff>
      <xdr:row>74</xdr:row>
      <xdr:rowOff>57150</xdr:rowOff>
    </xdr:from>
    <xdr:to>
      <xdr:col>7</xdr:col>
      <xdr:colOff>238125</xdr:colOff>
      <xdr:row>79</xdr:row>
      <xdr:rowOff>133349</xdr:rowOff>
    </xdr:to>
    <xdr:sp macro="" textlink="">
      <xdr:nvSpPr>
        <xdr:cNvPr id="44" name="TextBox 43">
          <a:extLst>
            <a:ext uri="{FF2B5EF4-FFF2-40B4-BE49-F238E27FC236}">
              <a16:creationId xmlns:a16="http://schemas.microsoft.com/office/drawing/2014/main" id="{AB69C42B-6DAC-486D-A3C6-E33CAA7ECB6F}"/>
            </a:ext>
          </a:extLst>
        </xdr:cNvPr>
        <xdr:cNvSpPr txBox="1"/>
      </xdr:nvSpPr>
      <xdr:spPr>
        <a:xfrm>
          <a:off x="5457824" y="19316700"/>
          <a:ext cx="1123951" cy="1142999"/>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0" i="1" u="none" strike="noStrike">
              <a:solidFill>
                <a:sysClr val="windowText" lastClr="000000"/>
              </a:solidFill>
              <a:effectLst/>
              <a:latin typeface="+mn-lt"/>
              <a:ea typeface="+mn-ea"/>
              <a:cs typeface="+mn-cs"/>
            </a:rPr>
            <a:t>These workforce FTEs are as reported by DHHS.</a:t>
          </a:r>
          <a:endParaRPr lang="en-AU" sz="1100" b="0" i="1">
            <a:solidFill>
              <a:sysClr val="windowText" lastClr="000000"/>
            </a:solidFill>
          </a:endParaRPr>
        </a:p>
      </xdr:txBody>
    </xdr:sp>
    <xdr:clientData/>
  </xdr:twoCellAnchor>
  <xdr:twoCellAnchor editAs="oneCell">
    <xdr:from>
      <xdr:col>0</xdr:col>
      <xdr:colOff>0</xdr:colOff>
      <xdr:row>0</xdr:row>
      <xdr:rowOff>28575</xdr:rowOff>
    </xdr:from>
    <xdr:to>
      <xdr:col>0</xdr:col>
      <xdr:colOff>1475994</xdr:colOff>
      <xdr:row>2</xdr:row>
      <xdr:rowOff>104775</xdr:rowOff>
    </xdr:to>
    <xdr:pic>
      <xdr:nvPicPr>
        <xdr:cNvPr id="47" name="Picture 46">
          <a:extLst>
            <a:ext uri="{FF2B5EF4-FFF2-40B4-BE49-F238E27FC236}">
              <a16:creationId xmlns:a16="http://schemas.microsoft.com/office/drawing/2014/main" id="{D0F094D1-BFC9-4BE9-9F93-FCAC90281601}"/>
            </a:ext>
          </a:extLst>
        </xdr:cNvPr>
        <xdr:cNvPicPr>
          <a:picLocks noChangeAspect="1"/>
        </xdr:cNvPicPr>
      </xdr:nvPicPr>
      <xdr:blipFill rotWithShape="1">
        <a:blip xmlns:r="http://schemas.openxmlformats.org/officeDocument/2006/relationships" r:embed="rId12"/>
        <a:srcRect l="7954" t="16489" r="7387" b="20091"/>
        <a:stretch/>
      </xdr:blipFill>
      <xdr:spPr>
        <a:xfrm>
          <a:off x="0" y="28575"/>
          <a:ext cx="1475994" cy="495300"/>
        </a:xfrm>
        <a:prstGeom prst="rect">
          <a:avLst/>
        </a:prstGeom>
      </xdr:spPr>
    </xdr:pic>
    <xdr:clientData/>
  </xdr:twoCellAnchor>
  <xdr:twoCellAnchor editAs="oneCell">
    <xdr:from>
      <xdr:col>14</xdr:col>
      <xdr:colOff>590550</xdr:colOff>
      <xdr:row>0</xdr:row>
      <xdr:rowOff>19050</xdr:rowOff>
    </xdr:from>
    <xdr:to>
      <xdr:col>17</xdr:col>
      <xdr:colOff>800100</xdr:colOff>
      <xdr:row>3</xdr:row>
      <xdr:rowOff>2865</xdr:rowOff>
    </xdr:to>
    <xdr:pic>
      <xdr:nvPicPr>
        <xdr:cNvPr id="55" name="Picture 54">
          <a:extLst>
            <a:ext uri="{FF2B5EF4-FFF2-40B4-BE49-F238E27FC236}">
              <a16:creationId xmlns:a16="http://schemas.microsoft.com/office/drawing/2014/main" id="{A7F42F64-81FB-4261-8D15-4D5A5A51CC90}"/>
            </a:ext>
          </a:extLst>
        </xdr:cNvPr>
        <xdr:cNvPicPr>
          <a:picLocks noChangeAspect="1"/>
        </xdr:cNvPicPr>
      </xdr:nvPicPr>
      <xdr:blipFill>
        <a:blip xmlns:r="http://schemas.openxmlformats.org/officeDocument/2006/relationships" r:embed="rId13"/>
        <a:stretch>
          <a:fillRect/>
        </a:stretch>
      </xdr:blipFill>
      <xdr:spPr>
        <a:xfrm>
          <a:off x="11477625" y="19050"/>
          <a:ext cx="2047875" cy="612465"/>
        </a:xfrm>
        <a:prstGeom prst="rect">
          <a:avLst/>
        </a:prstGeom>
      </xdr:spPr>
    </xdr:pic>
    <xdr:clientData/>
  </xdr:twoCellAnchor>
  <xdr:twoCellAnchor>
    <xdr:from>
      <xdr:col>0</xdr:col>
      <xdr:colOff>129660</xdr:colOff>
      <xdr:row>48</xdr:row>
      <xdr:rowOff>180975</xdr:rowOff>
    </xdr:from>
    <xdr:to>
      <xdr:col>17</xdr:col>
      <xdr:colOff>95336</xdr:colOff>
      <xdr:row>60</xdr:row>
      <xdr:rowOff>161925</xdr:rowOff>
    </xdr:to>
    <xdr:sp macro="" textlink="">
      <xdr:nvSpPr>
        <xdr:cNvPr id="80" name="Rectangle: Rounded Corners 79">
          <a:extLst>
            <a:ext uri="{FF2B5EF4-FFF2-40B4-BE49-F238E27FC236}">
              <a16:creationId xmlns:a16="http://schemas.microsoft.com/office/drawing/2014/main" id="{0B782BD5-AF9E-4489-9D21-543CE2F82927}"/>
            </a:ext>
          </a:extLst>
        </xdr:cNvPr>
        <xdr:cNvSpPr/>
      </xdr:nvSpPr>
      <xdr:spPr bwMode="auto">
        <a:xfrm>
          <a:off x="129660" y="13868400"/>
          <a:ext cx="12691076" cy="2886075"/>
        </a:xfrm>
        <a:prstGeom prst="roundRect">
          <a:avLst>
            <a:gd name="adj" fmla="val 7123"/>
          </a:avLst>
        </a:prstGeom>
        <a:noFill/>
        <a:ln w="28575" cap="flat" cmpd="sng" algn="ctr">
          <a:no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tx1"/>
              </a:solidFill>
              <a:effectLst/>
              <a:latin typeface="+mj-lt"/>
            </a:rPr>
            <a:t>Supply for MCH nurses is driven by:</a:t>
          </a: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tx1"/>
              </a:solidFill>
              <a:effectLst/>
              <a:latin typeface="+mj-lt"/>
            </a:rPr>
            <a:t>- the growth in new graduates entering the workforce</a:t>
          </a: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tx1"/>
              </a:solidFill>
              <a:effectLst/>
              <a:latin typeface="+mj-lt"/>
            </a:rPr>
            <a:t>- new graduates joining services only in metropolitan and interface areas* </a:t>
          </a: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tx1"/>
              </a:solidFill>
              <a:effectLst/>
              <a:latin typeface="+mj-lt"/>
            </a:rPr>
            <a:t>(all students assumed to be employed upon graduation)</a:t>
          </a: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tx1"/>
              </a:solidFill>
              <a:effectLst/>
              <a:latin typeface="+mj-lt"/>
            </a:rPr>
            <a:t>- the age profile of the current workforce.</a:t>
          </a: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tx1"/>
              </a:solidFill>
              <a:effectLst/>
              <a:latin typeface="+mj-lt"/>
            </a:rPr>
            <a:t>- ageing of the workforce over time with a retirement age of 65 years.</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200" b="0" i="0"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tx1"/>
              </a:solidFill>
              <a:effectLst/>
              <a:latin typeface="+mj-lt"/>
            </a:rPr>
            <a:t>These factors are combined to derive projections of workforce supply at the statewide level</a:t>
          </a: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tx1"/>
              </a:solidFill>
              <a:effectLst/>
              <a:latin typeface="+mj-lt"/>
            </a:rPr>
            <a:t>before being apportioned by council.</a:t>
          </a:r>
        </a:p>
        <a:p>
          <a:pPr marL="0" marR="0" indent="0" algn="l" defTabSz="914400" rtl="0" eaLnBrk="0" fontAlgn="base" latinLnBrk="0" hangingPunct="0">
            <a:lnSpc>
              <a:spcPct val="100000"/>
            </a:lnSpc>
            <a:spcBef>
              <a:spcPct val="0"/>
            </a:spcBef>
            <a:spcAft>
              <a:spcPct val="0"/>
            </a:spcAft>
            <a:buClrTx/>
            <a:buSzTx/>
            <a:buFontTx/>
            <a:buNone/>
            <a:tabLst/>
          </a:pPr>
          <a:endParaRPr kumimoji="0" lang="en-AU" sz="1200" b="0" i="1" u="none" strike="noStrike" cap="none" normalizeH="0" baseline="0">
            <a:ln>
              <a:noFill/>
            </a:ln>
            <a:solidFill>
              <a:schemeClr val="tx1"/>
            </a:solidFill>
            <a:effectLst/>
            <a:latin typeface="+mj-lt"/>
          </a:endParaRP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1" u="none" strike="noStrike" cap="none" normalizeH="0" baseline="0">
              <a:ln>
                <a:noFill/>
              </a:ln>
              <a:solidFill>
                <a:schemeClr val="tx1"/>
              </a:solidFill>
              <a:effectLst/>
              <a:latin typeface="+mj-lt"/>
            </a:rPr>
            <a:t>* Data around the employment rate of new graduates by council are unavailable and difficult to measure.</a:t>
          </a: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1" u="none" strike="noStrike" cap="none" normalizeH="0" baseline="0">
              <a:ln>
                <a:noFill/>
              </a:ln>
              <a:solidFill>
                <a:schemeClr val="tx1"/>
              </a:solidFill>
              <a:effectLst/>
              <a:latin typeface="+mj-lt"/>
            </a:rPr>
            <a:t>The model assumes all students will be employed upon graduation which may lead to an over-representation</a:t>
          </a:r>
        </a:p>
        <a:p>
          <a:pPr marL="0" marR="0" indent="0" algn="l" defTabSz="914400" rtl="0" eaLnBrk="0" fontAlgn="base" latinLnBrk="0" hangingPunct="0">
            <a:lnSpc>
              <a:spcPct val="100000"/>
            </a:lnSpc>
            <a:spcBef>
              <a:spcPct val="0"/>
            </a:spcBef>
            <a:spcAft>
              <a:spcPct val="0"/>
            </a:spcAft>
            <a:buClrTx/>
            <a:buSzTx/>
            <a:buFontTx/>
            <a:buNone/>
            <a:tabLst/>
          </a:pPr>
          <a:r>
            <a:rPr kumimoji="0" lang="en-AU" sz="1200" b="0" i="1" u="none" strike="noStrike" cap="none" normalizeH="0" baseline="0">
              <a:ln>
                <a:noFill/>
              </a:ln>
              <a:solidFill>
                <a:schemeClr val="tx1"/>
              </a:solidFill>
              <a:effectLst/>
              <a:latin typeface="+mj-lt"/>
            </a:rPr>
            <a:t>of workforce supply.</a:t>
          </a:r>
        </a:p>
      </xdr:txBody>
    </xdr:sp>
    <xdr:clientData/>
  </xdr:twoCellAnchor>
  <xdr:twoCellAnchor>
    <xdr:from>
      <xdr:col>8</xdr:col>
      <xdr:colOff>9696</xdr:colOff>
      <xdr:row>50</xdr:row>
      <xdr:rowOff>81091</xdr:rowOff>
    </xdr:from>
    <xdr:to>
      <xdr:col>16</xdr:col>
      <xdr:colOff>152400</xdr:colOff>
      <xdr:row>57</xdr:row>
      <xdr:rowOff>200025</xdr:rowOff>
    </xdr:to>
    <xdr:grpSp>
      <xdr:nvGrpSpPr>
        <xdr:cNvPr id="81" name="Group 80">
          <a:extLst>
            <a:ext uri="{FF2B5EF4-FFF2-40B4-BE49-F238E27FC236}">
              <a16:creationId xmlns:a16="http://schemas.microsoft.com/office/drawing/2014/main" id="{148EAF15-4B8A-46DE-BA2F-E84F0627F73B}"/>
            </a:ext>
          </a:extLst>
        </xdr:cNvPr>
        <xdr:cNvGrpSpPr/>
      </xdr:nvGrpSpPr>
      <xdr:grpSpPr>
        <a:xfrm>
          <a:off x="6962946" y="14235241"/>
          <a:ext cx="5305254" cy="1928684"/>
          <a:chOff x="180976" y="10344150"/>
          <a:chExt cx="4772023" cy="1362075"/>
        </a:xfrm>
      </xdr:grpSpPr>
      <xdr:grpSp>
        <xdr:nvGrpSpPr>
          <xdr:cNvPr id="82" name="Group 81">
            <a:extLst>
              <a:ext uri="{FF2B5EF4-FFF2-40B4-BE49-F238E27FC236}">
                <a16:creationId xmlns:a16="http://schemas.microsoft.com/office/drawing/2014/main" id="{5AAF44FA-C59D-4708-A3DC-C7D899640D16}"/>
              </a:ext>
            </a:extLst>
          </xdr:cNvPr>
          <xdr:cNvGrpSpPr/>
        </xdr:nvGrpSpPr>
        <xdr:grpSpPr>
          <a:xfrm>
            <a:off x="180976" y="10344150"/>
            <a:ext cx="4772023" cy="1362075"/>
            <a:chOff x="180976" y="10344150"/>
            <a:chExt cx="4772023" cy="1362075"/>
          </a:xfrm>
        </xdr:grpSpPr>
        <xdr:grpSp>
          <xdr:nvGrpSpPr>
            <xdr:cNvPr id="84" name="Group 83">
              <a:extLst>
                <a:ext uri="{FF2B5EF4-FFF2-40B4-BE49-F238E27FC236}">
                  <a16:creationId xmlns:a16="http://schemas.microsoft.com/office/drawing/2014/main" id="{9DE32059-F8D8-4955-99E1-CC5B4196C14D}"/>
                </a:ext>
              </a:extLst>
            </xdr:cNvPr>
            <xdr:cNvGrpSpPr/>
          </xdr:nvGrpSpPr>
          <xdr:grpSpPr>
            <a:xfrm>
              <a:off x="180976" y="10344150"/>
              <a:ext cx="4772023" cy="1362075"/>
              <a:chOff x="180976" y="9896475"/>
              <a:chExt cx="4772023" cy="1362075"/>
            </a:xfrm>
          </xdr:grpSpPr>
          <xdr:grpSp>
            <xdr:nvGrpSpPr>
              <xdr:cNvPr id="86" name="Group 85">
                <a:extLst>
                  <a:ext uri="{FF2B5EF4-FFF2-40B4-BE49-F238E27FC236}">
                    <a16:creationId xmlns:a16="http://schemas.microsoft.com/office/drawing/2014/main" id="{1002BEF6-F1BF-4176-9042-EB77844FF92B}"/>
                  </a:ext>
                </a:extLst>
              </xdr:cNvPr>
              <xdr:cNvGrpSpPr/>
            </xdr:nvGrpSpPr>
            <xdr:grpSpPr>
              <a:xfrm>
                <a:off x="180976" y="9896475"/>
                <a:ext cx="4772023" cy="1362075"/>
                <a:chOff x="180976" y="9896475"/>
                <a:chExt cx="4772023" cy="1362075"/>
              </a:xfrm>
            </xdr:grpSpPr>
            <xdr:sp macro="" textlink="">
              <xdr:nvSpPr>
                <xdr:cNvPr id="88" name="Rectangle 87">
                  <a:extLst>
                    <a:ext uri="{FF2B5EF4-FFF2-40B4-BE49-F238E27FC236}">
                      <a16:creationId xmlns:a16="http://schemas.microsoft.com/office/drawing/2014/main" id="{21765A45-8A0A-4029-94CB-7BCDD677D5C1}"/>
                    </a:ext>
                  </a:extLst>
                </xdr:cNvPr>
                <xdr:cNvSpPr/>
              </xdr:nvSpPr>
              <xdr:spPr bwMode="auto">
                <a:xfrm>
                  <a:off x="180976" y="10744201"/>
                  <a:ext cx="1466849" cy="514349"/>
                </a:xfrm>
                <a:prstGeom prst="rect">
                  <a:avLst/>
                </a:prstGeom>
                <a:solidFill>
                  <a:schemeClr val="tx2">
                    <a:lumMod val="60000"/>
                    <a:lumOff val="40000"/>
                  </a:schemeClr>
                </a:solidFill>
                <a:ln>
                  <a:no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New graduates</a:t>
                  </a:r>
                </a:p>
              </xdr:txBody>
            </xdr:sp>
            <xdr:sp macro="" textlink="">
              <xdr:nvSpPr>
                <xdr:cNvPr id="89" name="Rectangle 88">
                  <a:extLst>
                    <a:ext uri="{FF2B5EF4-FFF2-40B4-BE49-F238E27FC236}">
                      <a16:creationId xmlns:a16="http://schemas.microsoft.com/office/drawing/2014/main" id="{D48345D7-579B-491A-B4E9-8B1691C88172}"/>
                    </a:ext>
                  </a:extLst>
                </xdr:cNvPr>
                <xdr:cNvSpPr/>
              </xdr:nvSpPr>
              <xdr:spPr bwMode="auto">
                <a:xfrm>
                  <a:off x="1809750" y="10744200"/>
                  <a:ext cx="1466849" cy="514349"/>
                </a:xfrm>
                <a:prstGeom prst="rect">
                  <a:avLst/>
                </a:prstGeom>
                <a:solidFill>
                  <a:schemeClr val="accent1">
                    <a:lumMod val="60000"/>
                    <a:lumOff val="40000"/>
                  </a:schemeClr>
                </a:solidFill>
                <a:ln>
                  <a:no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Age profile of workforce</a:t>
                  </a:r>
                </a:p>
              </xdr:txBody>
            </xdr:sp>
            <xdr:sp macro="" textlink="">
              <xdr:nvSpPr>
                <xdr:cNvPr id="90" name="Rectangle 89">
                  <a:extLst>
                    <a:ext uri="{FF2B5EF4-FFF2-40B4-BE49-F238E27FC236}">
                      <a16:creationId xmlns:a16="http://schemas.microsoft.com/office/drawing/2014/main" id="{A48B901B-6B1F-4886-BCF3-0065F86FFBDF}"/>
                    </a:ext>
                  </a:extLst>
                </xdr:cNvPr>
                <xdr:cNvSpPr/>
              </xdr:nvSpPr>
              <xdr:spPr bwMode="auto">
                <a:xfrm>
                  <a:off x="3486150" y="10744200"/>
                  <a:ext cx="1466849" cy="514349"/>
                </a:xfrm>
                <a:prstGeom prst="rect">
                  <a:avLst/>
                </a:prstGeom>
                <a:solidFill>
                  <a:schemeClr val="accent1">
                    <a:lumMod val="60000"/>
                    <a:lumOff val="40000"/>
                  </a:schemeClr>
                </a:solidFill>
                <a:ln>
                  <a:no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Increasing age of the workforce</a:t>
                  </a:r>
                </a:p>
              </xdr:txBody>
            </xdr:sp>
            <xdr:sp macro="" textlink="">
              <xdr:nvSpPr>
                <xdr:cNvPr id="91" name="Rectangle 90">
                  <a:extLst>
                    <a:ext uri="{FF2B5EF4-FFF2-40B4-BE49-F238E27FC236}">
                      <a16:creationId xmlns:a16="http://schemas.microsoft.com/office/drawing/2014/main" id="{83668D81-3682-42A4-B293-821A7ACDB2FA}"/>
                    </a:ext>
                  </a:extLst>
                </xdr:cNvPr>
                <xdr:cNvSpPr/>
              </xdr:nvSpPr>
              <xdr:spPr bwMode="auto">
                <a:xfrm>
                  <a:off x="1009650" y="9896475"/>
                  <a:ext cx="3067050" cy="514349"/>
                </a:xfrm>
                <a:prstGeom prst="rect">
                  <a:avLst/>
                </a:prstGeom>
                <a:solidFill>
                  <a:schemeClr val="tx2"/>
                </a:solidFill>
                <a:ln>
                  <a:no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WORKFORCE SUPPLY</a:t>
                  </a:r>
                </a:p>
              </xdr:txBody>
            </xdr:sp>
            <xdr:cxnSp macro="">
              <xdr:nvCxnSpPr>
                <xdr:cNvPr id="92" name="Connector: Elbow 91">
                  <a:extLst>
                    <a:ext uri="{FF2B5EF4-FFF2-40B4-BE49-F238E27FC236}">
                      <a16:creationId xmlns:a16="http://schemas.microsoft.com/office/drawing/2014/main" id="{EC294BA4-322C-4065-8181-35279DE5068D}"/>
                    </a:ext>
                  </a:extLst>
                </xdr:cNvPr>
                <xdr:cNvCxnSpPr>
                  <a:stCxn id="88" idx="0"/>
                  <a:endCxn id="91" idx="2"/>
                </xdr:cNvCxnSpPr>
              </xdr:nvCxnSpPr>
              <xdr:spPr bwMode="auto">
                <a:xfrm rot="5400000" flipH="1" flipV="1">
                  <a:off x="1562100" y="9763126"/>
                  <a:ext cx="333377" cy="1628774"/>
                </a:xfrm>
                <a:prstGeom prst="bentConnector3">
                  <a:avLst>
                    <a:gd name="adj1" fmla="val 50000"/>
                  </a:avLst>
                </a:prstGeom>
                <a:solidFill>
                  <a:schemeClr val="accent1"/>
                </a:solidFill>
                <a:ln w="9525" cap="flat" cmpd="sng" algn="ctr">
                  <a:solidFill>
                    <a:schemeClr val="tx2"/>
                  </a:solidFill>
                  <a:prstDash val="solid"/>
                  <a:round/>
                  <a:headEnd type="none" w="med" len="med"/>
                  <a:tailEnd type="triangle"/>
                </a:ln>
                <a:effectLst/>
              </xdr:spPr>
            </xdr:cxnSp>
            <xdr:cxnSp macro="">
              <xdr:nvCxnSpPr>
                <xdr:cNvPr id="93" name="Connector: Elbow 92">
                  <a:extLst>
                    <a:ext uri="{FF2B5EF4-FFF2-40B4-BE49-F238E27FC236}">
                      <a16:creationId xmlns:a16="http://schemas.microsoft.com/office/drawing/2014/main" id="{F80AC512-0E99-4BBC-97FD-A2ADC8301B0E}"/>
                    </a:ext>
                  </a:extLst>
                </xdr:cNvPr>
                <xdr:cNvCxnSpPr>
                  <a:stCxn id="90" idx="0"/>
                  <a:endCxn id="91" idx="2"/>
                </xdr:cNvCxnSpPr>
              </xdr:nvCxnSpPr>
              <xdr:spPr bwMode="auto">
                <a:xfrm rot="16200000" flipV="1">
                  <a:off x="3214687" y="9739312"/>
                  <a:ext cx="333376" cy="1676400"/>
                </a:xfrm>
                <a:prstGeom prst="bentConnector3">
                  <a:avLst>
                    <a:gd name="adj1" fmla="val 50000"/>
                  </a:avLst>
                </a:prstGeom>
                <a:solidFill>
                  <a:schemeClr val="accent1"/>
                </a:solidFill>
                <a:ln w="9525" cap="flat" cmpd="sng" algn="ctr">
                  <a:solidFill>
                    <a:schemeClr val="tx2"/>
                  </a:solidFill>
                  <a:prstDash val="solid"/>
                  <a:round/>
                  <a:headEnd type="none" w="med" len="med"/>
                  <a:tailEnd type="triangle"/>
                </a:ln>
                <a:effectLst/>
              </xdr:spPr>
            </xdr:cxnSp>
          </xdr:grpSp>
          <xdr:cxnSp macro="">
            <xdr:nvCxnSpPr>
              <xdr:cNvPr id="87" name="Straight Arrow Connector 86">
                <a:extLst>
                  <a:ext uri="{FF2B5EF4-FFF2-40B4-BE49-F238E27FC236}">
                    <a16:creationId xmlns:a16="http://schemas.microsoft.com/office/drawing/2014/main" id="{C7BAE322-88A1-4773-BAC9-EE2286E5FC3A}"/>
                  </a:ext>
                </a:extLst>
              </xdr:cNvPr>
              <xdr:cNvCxnSpPr>
                <a:stCxn id="89" idx="0"/>
                <a:endCxn id="91" idx="2"/>
              </xdr:cNvCxnSpPr>
            </xdr:nvCxnSpPr>
            <xdr:spPr bwMode="auto">
              <a:xfrm flipV="1">
                <a:off x="2543175" y="10410824"/>
                <a:ext cx="0" cy="333376"/>
              </a:xfrm>
              <a:prstGeom prst="straightConnector1">
                <a:avLst/>
              </a:prstGeom>
              <a:solidFill>
                <a:schemeClr val="accent1"/>
              </a:solidFill>
              <a:ln w="9525" cap="flat" cmpd="sng" algn="ctr">
                <a:solidFill>
                  <a:schemeClr val="tx2"/>
                </a:solidFill>
                <a:prstDash val="solid"/>
                <a:round/>
                <a:headEnd type="none" w="med" len="med"/>
                <a:tailEnd type="triangle"/>
              </a:ln>
              <a:effectLst/>
            </xdr:spPr>
          </xdr:cxnSp>
        </xdr:grpSp>
        <xdr:cxnSp macro="">
          <xdr:nvCxnSpPr>
            <xdr:cNvPr id="85" name="Straight Connector 84">
              <a:extLst>
                <a:ext uri="{FF2B5EF4-FFF2-40B4-BE49-F238E27FC236}">
                  <a16:creationId xmlns:a16="http://schemas.microsoft.com/office/drawing/2014/main" id="{B1F1505A-1BF7-4016-BC7B-E326D504935D}"/>
                </a:ext>
              </a:extLst>
            </xdr:cNvPr>
            <xdr:cNvCxnSpPr>
              <a:stCxn id="89" idx="3"/>
              <a:endCxn id="90" idx="1"/>
            </xdr:cNvCxnSpPr>
          </xdr:nvCxnSpPr>
          <xdr:spPr bwMode="auto">
            <a:xfrm>
              <a:off x="3276599" y="11449050"/>
              <a:ext cx="209551" cy="0"/>
            </a:xfrm>
            <a:prstGeom prst="line">
              <a:avLst/>
            </a:prstGeom>
            <a:solidFill>
              <a:schemeClr val="accent1"/>
            </a:solidFill>
            <a:ln w="9525" cap="flat" cmpd="sng" algn="ctr">
              <a:solidFill>
                <a:schemeClr val="accent1"/>
              </a:solidFill>
              <a:prstDash val="solid"/>
              <a:round/>
              <a:headEnd type="none" w="med" len="med"/>
              <a:tailEnd type="none" w="med" len="med"/>
            </a:ln>
            <a:effectLst/>
          </xdr:spPr>
        </xdr:cxnSp>
      </xdr:grpSp>
      <xdr:cxnSp macro="">
        <xdr:nvCxnSpPr>
          <xdr:cNvPr id="83" name="Straight Connector 82">
            <a:extLst>
              <a:ext uri="{FF2B5EF4-FFF2-40B4-BE49-F238E27FC236}">
                <a16:creationId xmlns:a16="http://schemas.microsoft.com/office/drawing/2014/main" id="{BB7DFE50-D5B0-4EE2-BCAC-6A01A2E2F1F8}"/>
              </a:ext>
            </a:extLst>
          </xdr:cNvPr>
          <xdr:cNvCxnSpPr>
            <a:stCxn id="88" idx="3"/>
            <a:endCxn id="89" idx="1"/>
          </xdr:cNvCxnSpPr>
        </xdr:nvCxnSpPr>
        <xdr:spPr bwMode="auto">
          <a:xfrm flipV="1">
            <a:off x="1647825" y="11449050"/>
            <a:ext cx="161925" cy="1"/>
          </a:xfrm>
          <a:prstGeom prst="line">
            <a:avLst/>
          </a:prstGeom>
          <a:solidFill>
            <a:schemeClr val="accent1"/>
          </a:solidFill>
          <a:ln w="9525" cap="flat" cmpd="sng" algn="ctr">
            <a:solidFill>
              <a:schemeClr val="tx2"/>
            </a:solidFill>
            <a:prstDash val="solid"/>
            <a:round/>
            <a:headEnd type="none" w="med" len="med"/>
            <a:tailEnd type="none" w="med" len="med"/>
          </a:ln>
          <a:effectLst/>
        </xdr:spPr>
      </xdr:cxnSp>
    </xdr:grpSp>
    <xdr:clientData/>
  </xdr:twoCellAnchor>
  <xdr:twoCellAnchor>
    <xdr:from>
      <xdr:col>0</xdr:col>
      <xdr:colOff>847724</xdr:colOff>
      <xdr:row>38</xdr:row>
      <xdr:rowOff>95249</xdr:rowOff>
    </xdr:from>
    <xdr:to>
      <xdr:col>16</xdr:col>
      <xdr:colOff>209550</xdr:colOff>
      <xdr:row>45</xdr:row>
      <xdr:rowOff>152399</xdr:rowOff>
    </xdr:to>
    <xdr:grpSp>
      <xdr:nvGrpSpPr>
        <xdr:cNvPr id="152" name="Group 151">
          <a:extLst>
            <a:ext uri="{FF2B5EF4-FFF2-40B4-BE49-F238E27FC236}">
              <a16:creationId xmlns:a16="http://schemas.microsoft.com/office/drawing/2014/main" id="{6BE01619-9BFE-45E6-A414-366BC03CD468}"/>
            </a:ext>
          </a:extLst>
        </xdr:cNvPr>
        <xdr:cNvGrpSpPr/>
      </xdr:nvGrpSpPr>
      <xdr:grpSpPr>
        <a:xfrm>
          <a:off x="847724" y="10382249"/>
          <a:ext cx="11477626" cy="2686050"/>
          <a:chOff x="1323974" y="9810749"/>
          <a:chExt cx="11477626" cy="2686050"/>
        </a:xfrm>
      </xdr:grpSpPr>
      <xdr:sp macro="" textlink="">
        <xdr:nvSpPr>
          <xdr:cNvPr id="79" name="Rectangle: Rounded Corners 78">
            <a:extLst>
              <a:ext uri="{FF2B5EF4-FFF2-40B4-BE49-F238E27FC236}">
                <a16:creationId xmlns:a16="http://schemas.microsoft.com/office/drawing/2014/main" id="{11798B32-6117-4E6B-8D8E-47DD0FF4C020}"/>
              </a:ext>
            </a:extLst>
          </xdr:cNvPr>
          <xdr:cNvSpPr/>
        </xdr:nvSpPr>
        <xdr:spPr bwMode="auto">
          <a:xfrm>
            <a:off x="1323974" y="11391900"/>
            <a:ext cx="3086101" cy="1104899"/>
          </a:xfrm>
          <a:prstGeom prst="roundRect">
            <a:avLst>
              <a:gd name="adj" fmla="val 7926"/>
            </a:avLst>
          </a:prstGeom>
          <a:noFill/>
          <a:ln w="28575" cap="flat" cmpd="sng" algn="ctr">
            <a:solidFill>
              <a:schemeClr val="accent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Driven by:</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 child population aged 0 to 6 (historical and projections)</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 MCH enrolments by age (historical)</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 number of MCH nurses in FTE terms (historical)</a:t>
            </a:r>
          </a:p>
        </xdr:txBody>
      </xdr:sp>
      <xdr:grpSp>
        <xdr:nvGrpSpPr>
          <xdr:cNvPr id="136" name="Group 135">
            <a:extLst>
              <a:ext uri="{FF2B5EF4-FFF2-40B4-BE49-F238E27FC236}">
                <a16:creationId xmlns:a16="http://schemas.microsoft.com/office/drawing/2014/main" id="{E4168535-977F-47C4-B964-F1241830C7FD}"/>
              </a:ext>
            </a:extLst>
          </xdr:cNvPr>
          <xdr:cNvGrpSpPr/>
        </xdr:nvGrpSpPr>
        <xdr:grpSpPr>
          <a:xfrm>
            <a:off x="1334216" y="9810749"/>
            <a:ext cx="11457859" cy="1508033"/>
            <a:chOff x="915116" y="11553824"/>
            <a:chExt cx="11457859" cy="1508033"/>
          </a:xfrm>
        </xdr:grpSpPr>
        <xdr:grpSp>
          <xdr:nvGrpSpPr>
            <xdr:cNvPr id="116" name="Group 115">
              <a:extLst>
                <a:ext uri="{FF2B5EF4-FFF2-40B4-BE49-F238E27FC236}">
                  <a16:creationId xmlns:a16="http://schemas.microsoft.com/office/drawing/2014/main" id="{8C2BD3E9-A545-4DE5-BFC8-F576AECF292A}"/>
                </a:ext>
              </a:extLst>
            </xdr:cNvPr>
            <xdr:cNvGrpSpPr/>
          </xdr:nvGrpSpPr>
          <xdr:grpSpPr>
            <a:xfrm>
              <a:off x="915116" y="11553824"/>
              <a:ext cx="11457859" cy="1508033"/>
              <a:chOff x="2477216" y="11096624"/>
              <a:chExt cx="11457859" cy="1508033"/>
            </a:xfrm>
          </xdr:grpSpPr>
          <xdr:grpSp>
            <xdr:nvGrpSpPr>
              <xdr:cNvPr id="110" name="Group 109">
                <a:extLst>
                  <a:ext uri="{FF2B5EF4-FFF2-40B4-BE49-F238E27FC236}">
                    <a16:creationId xmlns:a16="http://schemas.microsoft.com/office/drawing/2014/main" id="{F1C12837-91F8-4D35-BC78-A721EE7DC592}"/>
                  </a:ext>
                </a:extLst>
              </xdr:cNvPr>
              <xdr:cNvGrpSpPr/>
            </xdr:nvGrpSpPr>
            <xdr:grpSpPr>
              <a:xfrm>
                <a:off x="2477216" y="11096624"/>
                <a:ext cx="9714785" cy="1506728"/>
                <a:chOff x="2477216" y="11096624"/>
                <a:chExt cx="9714785" cy="1506728"/>
              </a:xfrm>
            </xdr:grpSpPr>
            <xdr:grpSp>
              <xdr:nvGrpSpPr>
                <xdr:cNvPr id="15" name="Group 14">
                  <a:extLst>
                    <a:ext uri="{FF2B5EF4-FFF2-40B4-BE49-F238E27FC236}">
                      <a16:creationId xmlns:a16="http://schemas.microsoft.com/office/drawing/2014/main" id="{73AABD2E-6FD6-4D57-8BE5-BF6345633DAB}"/>
                    </a:ext>
                  </a:extLst>
                </xdr:cNvPr>
                <xdr:cNvGrpSpPr/>
              </xdr:nvGrpSpPr>
              <xdr:grpSpPr>
                <a:xfrm>
                  <a:off x="2477216" y="11096624"/>
                  <a:ext cx="9714785" cy="1506728"/>
                  <a:chOff x="4077416" y="10448924"/>
                  <a:chExt cx="9714785" cy="1506728"/>
                </a:xfrm>
              </xdr:grpSpPr>
              <xdr:sp macro="" textlink="">
                <xdr:nvSpPr>
                  <xdr:cNvPr id="76" name="Rectangle 75">
                    <a:extLst>
                      <a:ext uri="{FF2B5EF4-FFF2-40B4-BE49-F238E27FC236}">
                        <a16:creationId xmlns:a16="http://schemas.microsoft.com/office/drawing/2014/main" id="{F1084284-EE46-4D9E-AD44-6E6348160CDB}"/>
                      </a:ext>
                    </a:extLst>
                  </xdr:cNvPr>
                  <xdr:cNvSpPr/>
                </xdr:nvSpPr>
                <xdr:spPr bwMode="auto">
                  <a:xfrm>
                    <a:off x="4077416" y="11438220"/>
                    <a:ext cx="3067779" cy="517432"/>
                  </a:xfrm>
                  <a:prstGeom prst="rect">
                    <a:avLst/>
                  </a:prstGeom>
                  <a:solidFill>
                    <a:schemeClr val="accent2">
                      <a:lumMod val="60000"/>
                      <a:lumOff val="40000"/>
                    </a:schemeClr>
                  </a:solidFill>
                  <a:ln>
                    <a:no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UNIVERSAL MCH NURSES</a:t>
                    </a:r>
                  </a:p>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(by council)</a:t>
                    </a:r>
                  </a:p>
                </xdr:txBody>
              </xdr:sp>
              <xdr:grpSp>
                <xdr:nvGrpSpPr>
                  <xdr:cNvPr id="97" name="Group 96">
                    <a:extLst>
                      <a:ext uri="{FF2B5EF4-FFF2-40B4-BE49-F238E27FC236}">
                        <a16:creationId xmlns:a16="http://schemas.microsoft.com/office/drawing/2014/main" id="{E0877D5D-59A6-4403-A75B-2D3446D8C72F}"/>
                      </a:ext>
                    </a:extLst>
                  </xdr:cNvPr>
                  <xdr:cNvGrpSpPr/>
                </xdr:nvGrpSpPr>
                <xdr:grpSpPr>
                  <a:xfrm>
                    <a:off x="7962901" y="10956831"/>
                    <a:ext cx="5829300" cy="990613"/>
                    <a:chOff x="-3423250" y="10505494"/>
                    <a:chExt cx="6711909" cy="984710"/>
                  </a:xfrm>
                </xdr:grpSpPr>
                <xdr:sp macro="" textlink="">
                  <xdr:nvSpPr>
                    <xdr:cNvPr id="102" name="Rectangle 101">
                      <a:extLst>
                        <a:ext uri="{FF2B5EF4-FFF2-40B4-BE49-F238E27FC236}">
                          <a16:creationId xmlns:a16="http://schemas.microsoft.com/office/drawing/2014/main" id="{56A60A9B-96F9-4413-A388-027627403DDF}"/>
                        </a:ext>
                      </a:extLst>
                    </xdr:cNvPr>
                    <xdr:cNvSpPr/>
                  </xdr:nvSpPr>
                  <xdr:spPr bwMode="auto">
                    <a:xfrm>
                      <a:off x="-3423250" y="10975855"/>
                      <a:ext cx="4046885" cy="514349"/>
                    </a:xfrm>
                    <a:prstGeom prst="rect">
                      <a:avLst/>
                    </a:prstGeom>
                    <a:solidFill>
                      <a:schemeClr val="accent2">
                        <a:lumMod val="60000"/>
                        <a:lumOff val="40000"/>
                      </a:schemeClr>
                    </a:solidFill>
                    <a:ln>
                      <a:no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ENHANCED MCH NURSES</a:t>
                      </a:r>
                    </a:p>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(by council)</a:t>
                      </a:r>
                    </a:p>
                  </xdr:txBody>
                </xdr:sp>
                <xdr:cxnSp macro="">
                  <xdr:nvCxnSpPr>
                    <xdr:cNvPr id="103" name="Connector: Elbow 102">
                      <a:extLst>
                        <a:ext uri="{FF2B5EF4-FFF2-40B4-BE49-F238E27FC236}">
                          <a16:creationId xmlns:a16="http://schemas.microsoft.com/office/drawing/2014/main" id="{8886F1B0-92BF-4518-8ECF-DC043E15685F}"/>
                        </a:ext>
                      </a:extLst>
                    </xdr:cNvPr>
                    <xdr:cNvCxnSpPr>
                      <a:stCxn id="105" idx="2"/>
                      <a:endCxn id="115" idx="0"/>
                    </xdr:cNvCxnSpPr>
                  </xdr:nvCxnSpPr>
                  <xdr:spPr bwMode="auto">
                    <a:xfrm rot="16200000" flipH="1">
                      <a:off x="701775" y="8398428"/>
                      <a:ext cx="479818" cy="4693950"/>
                    </a:xfrm>
                    <a:prstGeom prst="bentConnector3">
                      <a:avLst>
                        <a:gd name="adj1" fmla="val 50000"/>
                      </a:avLst>
                    </a:prstGeom>
                    <a:solidFill>
                      <a:schemeClr val="accent1"/>
                    </a:solidFill>
                    <a:ln w="9525" cap="flat" cmpd="sng" algn="ctr">
                      <a:solidFill>
                        <a:schemeClr val="accent2"/>
                      </a:solidFill>
                      <a:prstDash val="solid"/>
                      <a:round/>
                      <a:headEnd type="none" w="med" len="med"/>
                      <a:tailEnd type="triangle"/>
                    </a:ln>
                    <a:effectLst/>
                  </xdr:spPr>
                </xdr:cxnSp>
              </xdr:grpSp>
              <xdr:sp macro="" textlink="">
                <xdr:nvSpPr>
                  <xdr:cNvPr id="105" name="Rectangle 104">
                    <a:extLst>
                      <a:ext uri="{FF2B5EF4-FFF2-40B4-BE49-F238E27FC236}">
                        <a16:creationId xmlns:a16="http://schemas.microsoft.com/office/drawing/2014/main" id="{CB26C5C6-6917-4F35-8322-D36EA7F0B5CE}"/>
                      </a:ext>
                    </a:extLst>
                  </xdr:cNvPr>
                  <xdr:cNvSpPr/>
                </xdr:nvSpPr>
                <xdr:spPr bwMode="auto">
                  <a:xfrm>
                    <a:off x="5953125" y="10448924"/>
                    <a:ext cx="7524750" cy="507907"/>
                  </a:xfrm>
                  <a:prstGeom prst="rect">
                    <a:avLst/>
                  </a:prstGeom>
                  <a:solidFill>
                    <a:schemeClr val="accent2"/>
                  </a:solidFill>
                  <a:ln>
                    <a:no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600" b="0" i="0" u="none" strike="noStrike" cap="none" normalizeH="0" baseline="0">
                        <a:ln>
                          <a:noFill/>
                        </a:ln>
                        <a:solidFill>
                          <a:schemeClr val="bg1"/>
                        </a:solidFill>
                        <a:effectLst/>
                        <a:latin typeface="+mj-lt"/>
                      </a:rPr>
                      <a:t>WORKFORCE DEMAND</a:t>
                    </a:r>
                  </a:p>
                </xdr:txBody>
              </xdr:sp>
            </xdr:grpSp>
            <xdr:cxnSp macro="">
              <xdr:nvCxnSpPr>
                <xdr:cNvPr id="107" name="Connector: Elbow 106">
                  <a:extLst>
                    <a:ext uri="{FF2B5EF4-FFF2-40B4-BE49-F238E27FC236}">
                      <a16:creationId xmlns:a16="http://schemas.microsoft.com/office/drawing/2014/main" id="{69ECEB29-0D84-47AA-A99E-D97D4D1DB2EC}"/>
                    </a:ext>
                  </a:extLst>
                </xdr:cNvPr>
                <xdr:cNvCxnSpPr>
                  <a:stCxn id="105" idx="2"/>
                  <a:endCxn id="76" idx="0"/>
                </xdr:cNvCxnSpPr>
              </xdr:nvCxnSpPr>
              <xdr:spPr bwMode="auto">
                <a:xfrm rot="5400000">
                  <a:off x="5822509" y="9793128"/>
                  <a:ext cx="481389" cy="4104194"/>
                </a:xfrm>
                <a:prstGeom prst="bentConnector3">
                  <a:avLst>
                    <a:gd name="adj1" fmla="val 50000"/>
                  </a:avLst>
                </a:prstGeom>
                <a:solidFill>
                  <a:schemeClr val="accent1"/>
                </a:solidFill>
                <a:ln w="9525" cap="flat" cmpd="sng" algn="ctr">
                  <a:solidFill>
                    <a:schemeClr val="accent2"/>
                  </a:solidFill>
                  <a:prstDash val="solid"/>
                  <a:round/>
                  <a:headEnd type="none" w="med" len="med"/>
                  <a:tailEnd type="triangle"/>
                </a:ln>
                <a:effectLst/>
              </xdr:spPr>
            </xdr:cxnSp>
          </xdr:grpSp>
          <xdr:sp macro="" textlink="">
            <xdr:nvSpPr>
              <xdr:cNvPr id="115" name="Rectangle 114">
                <a:extLst>
                  <a:ext uri="{FF2B5EF4-FFF2-40B4-BE49-F238E27FC236}">
                    <a16:creationId xmlns:a16="http://schemas.microsoft.com/office/drawing/2014/main" id="{523D94AA-BEF2-4E0A-8064-EA4EEE578FF4}"/>
                  </a:ext>
                </a:extLst>
              </xdr:cNvPr>
              <xdr:cNvSpPr/>
            </xdr:nvSpPr>
            <xdr:spPr bwMode="auto">
              <a:xfrm>
                <a:off x="10448925" y="12087225"/>
                <a:ext cx="3486150" cy="517432"/>
              </a:xfrm>
              <a:prstGeom prst="rect">
                <a:avLst/>
              </a:prstGeom>
              <a:solidFill>
                <a:schemeClr val="accent2">
                  <a:lumMod val="60000"/>
                  <a:lumOff val="40000"/>
                </a:schemeClr>
              </a:solidFill>
              <a:ln>
                <a:no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numCol="1" rtlCol="0" anchor="ctr" anchorCtr="0" compatLnSpc="1">
                <a:prstTxWarp prst="textNoShape">
                  <a:avLst/>
                </a:prstTxWarp>
              </a:bodyPr>
              <a:lstStyle/>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ENHANCED NON MCH NURSES</a:t>
                </a:r>
              </a:p>
              <a:p>
                <a:pPr marL="0" marR="0" indent="0" algn="ctr" defTabSz="914400" rtl="0" eaLnBrk="0" fontAlgn="base" latinLnBrk="0" hangingPunct="0">
                  <a:lnSpc>
                    <a:spcPct val="100000"/>
                  </a:lnSpc>
                  <a:spcBef>
                    <a:spcPct val="0"/>
                  </a:spcBef>
                  <a:spcAft>
                    <a:spcPct val="0"/>
                  </a:spcAft>
                  <a:buClrTx/>
                  <a:buSzTx/>
                  <a:buFontTx/>
                  <a:buNone/>
                  <a:tabLst/>
                </a:pPr>
                <a:r>
                  <a:rPr kumimoji="0" lang="en-AU" sz="1200" b="0" i="0" u="none" strike="noStrike" cap="none" normalizeH="0" baseline="0">
                    <a:ln>
                      <a:noFill/>
                    </a:ln>
                    <a:solidFill>
                      <a:schemeClr val="bg1"/>
                    </a:solidFill>
                    <a:effectLst/>
                    <a:latin typeface="+mj-lt"/>
                  </a:rPr>
                  <a:t>(by council)</a:t>
                </a:r>
              </a:p>
            </xdr:txBody>
          </xdr:sp>
        </xdr:grpSp>
        <xdr:cxnSp macro="">
          <xdr:nvCxnSpPr>
            <xdr:cNvPr id="135" name="Straight Arrow Connector 134">
              <a:extLst>
                <a:ext uri="{FF2B5EF4-FFF2-40B4-BE49-F238E27FC236}">
                  <a16:creationId xmlns:a16="http://schemas.microsoft.com/office/drawing/2014/main" id="{53EE1AA7-C96F-4190-B98C-750B2221A471}"/>
                </a:ext>
              </a:extLst>
            </xdr:cNvPr>
            <xdr:cNvCxnSpPr>
              <a:stCxn id="105" idx="2"/>
              <a:endCxn id="102" idx="0"/>
            </xdr:cNvCxnSpPr>
          </xdr:nvCxnSpPr>
          <xdr:spPr bwMode="auto">
            <a:xfrm>
              <a:off x="6553200" y="12061731"/>
              <a:ext cx="4763" cy="473181"/>
            </a:xfrm>
            <a:prstGeom prst="straightConnector1">
              <a:avLst/>
            </a:prstGeom>
            <a:ln>
              <a:headEnd type="none" w="med" len="med"/>
              <a:tailEnd type="triangle"/>
            </a:ln>
          </xdr:spPr>
          <xdr:style>
            <a:lnRef idx="1">
              <a:schemeClr val="accent2"/>
            </a:lnRef>
            <a:fillRef idx="0">
              <a:schemeClr val="accent2"/>
            </a:fillRef>
            <a:effectRef idx="0">
              <a:schemeClr val="accent2"/>
            </a:effectRef>
            <a:fontRef idx="minor">
              <a:schemeClr val="tx1"/>
            </a:fontRef>
          </xdr:style>
        </xdr:cxnSp>
      </xdr:grpSp>
      <xdr:sp macro="" textlink="">
        <xdr:nvSpPr>
          <xdr:cNvPr id="145" name="Rectangle: Rounded Corners 144">
            <a:extLst>
              <a:ext uri="{FF2B5EF4-FFF2-40B4-BE49-F238E27FC236}">
                <a16:creationId xmlns:a16="http://schemas.microsoft.com/office/drawing/2014/main" id="{1770E2BE-BA40-4130-8727-DC402DAF2BCD}"/>
              </a:ext>
            </a:extLst>
          </xdr:cNvPr>
          <xdr:cNvSpPr/>
        </xdr:nvSpPr>
        <xdr:spPr bwMode="auto">
          <a:xfrm>
            <a:off x="5248275" y="11391900"/>
            <a:ext cx="3495675" cy="1039690"/>
          </a:xfrm>
          <a:prstGeom prst="roundRect">
            <a:avLst>
              <a:gd name="adj" fmla="val 7926"/>
            </a:avLst>
          </a:prstGeom>
          <a:noFill/>
          <a:ln w="28575" cap="flat" cmpd="sng" algn="ctr">
            <a:solidFill>
              <a:schemeClr val="accent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Driven by:</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 child population aged 0 to 6 (historical and projections)</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 MCH enrolments by age (historical)</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 number of Enhanced MCH nurses in FTE terms (historical)</a:t>
            </a:r>
          </a:p>
        </xdr:txBody>
      </xdr:sp>
      <xdr:sp macro="" textlink="">
        <xdr:nvSpPr>
          <xdr:cNvPr id="148" name="Rectangle: Rounded Corners 147">
            <a:extLst>
              <a:ext uri="{FF2B5EF4-FFF2-40B4-BE49-F238E27FC236}">
                <a16:creationId xmlns:a16="http://schemas.microsoft.com/office/drawing/2014/main" id="{550B451C-9E54-40C2-95AD-E002F25AF570}"/>
              </a:ext>
            </a:extLst>
          </xdr:cNvPr>
          <xdr:cNvSpPr/>
        </xdr:nvSpPr>
        <xdr:spPr bwMode="auto">
          <a:xfrm>
            <a:off x="9305925" y="11391900"/>
            <a:ext cx="3495675" cy="1087315"/>
          </a:xfrm>
          <a:prstGeom prst="roundRect">
            <a:avLst>
              <a:gd name="adj" fmla="val 7926"/>
            </a:avLst>
          </a:prstGeom>
          <a:noFill/>
          <a:ln w="28575" cap="flat" cmpd="sng" algn="ctr">
            <a:solidFill>
              <a:schemeClr val="accent2"/>
            </a:solidFill>
            <a:prstDash val="dash"/>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Driven by:</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 child population aged 0 to 6 (historical and projections)</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 FTB-A families by age of child (historical)</a:t>
            </a:r>
          </a:p>
          <a:p>
            <a:pPr marL="0" marR="0" indent="0" algn="l" defTabSz="914400" rtl="0" eaLnBrk="0" fontAlgn="base" latinLnBrk="0" hangingPunct="0">
              <a:lnSpc>
                <a:spcPct val="100000"/>
              </a:lnSpc>
              <a:spcBef>
                <a:spcPct val="0"/>
              </a:spcBef>
              <a:spcAft>
                <a:spcPct val="0"/>
              </a:spcAft>
              <a:buClrTx/>
              <a:buSzTx/>
              <a:buFontTx/>
              <a:buNone/>
              <a:tabLst/>
            </a:pPr>
            <a:r>
              <a:rPr kumimoji="0" lang="en-AU" sz="1100" b="0" i="0" u="none" strike="noStrike" cap="none" normalizeH="0" baseline="0">
                <a:ln>
                  <a:noFill/>
                </a:ln>
                <a:solidFill>
                  <a:schemeClr val="tx1"/>
                </a:solidFill>
                <a:effectLst/>
                <a:latin typeface="+mj-lt"/>
              </a:rPr>
              <a:t>- number of non MCH nurses in FTE terms (historical).</a:t>
            </a:r>
          </a:p>
        </xdr:txBody>
      </xdr:sp>
    </xdr:grpSp>
    <xdr:clientData/>
  </xdr:twoCellAnchor>
  <xdr:twoCellAnchor>
    <xdr:from>
      <xdr:col>5</xdr:col>
      <xdr:colOff>323850</xdr:colOff>
      <xdr:row>83</xdr:row>
      <xdr:rowOff>133350</xdr:rowOff>
    </xdr:from>
    <xdr:to>
      <xdr:col>7</xdr:col>
      <xdr:colOff>228601</xdr:colOff>
      <xdr:row>90</xdr:row>
      <xdr:rowOff>9525</xdr:rowOff>
    </xdr:to>
    <xdr:sp macro="" textlink="">
      <xdr:nvSpPr>
        <xdr:cNvPr id="166" name="TextBox 165">
          <a:extLst>
            <a:ext uri="{FF2B5EF4-FFF2-40B4-BE49-F238E27FC236}">
              <a16:creationId xmlns:a16="http://schemas.microsoft.com/office/drawing/2014/main" id="{0E3BF231-DBA7-42E7-9720-7F9D17C4F1A3}"/>
            </a:ext>
          </a:extLst>
        </xdr:cNvPr>
        <xdr:cNvSpPr txBox="1"/>
      </xdr:nvSpPr>
      <xdr:spPr>
        <a:xfrm>
          <a:off x="5448300" y="21297900"/>
          <a:ext cx="1123951" cy="1343025"/>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0" i="1" u="none" strike="noStrike">
              <a:solidFill>
                <a:sysClr val="windowText" lastClr="000000"/>
              </a:solidFill>
              <a:effectLst/>
              <a:latin typeface="+mn-lt"/>
              <a:ea typeface="+mn-ea"/>
              <a:cs typeface="+mn-cs"/>
            </a:rPr>
            <a:t>If any of the above are incorrect, please enter your corrections here.</a:t>
          </a:r>
          <a:endParaRPr lang="en-AU" sz="1100" b="0" i="1">
            <a:solidFill>
              <a:sysClr val="windowText" lastClr="000000"/>
            </a:solidFill>
          </a:endParaRPr>
        </a:p>
      </xdr:txBody>
    </xdr:sp>
    <xdr:clientData/>
  </xdr:twoCellAnchor>
  <xdr:twoCellAnchor>
    <xdr:from>
      <xdr:col>7</xdr:col>
      <xdr:colOff>581025</xdr:colOff>
      <xdr:row>69</xdr:row>
      <xdr:rowOff>285750</xdr:rowOff>
    </xdr:from>
    <xdr:to>
      <xdr:col>8</xdr:col>
      <xdr:colOff>0</xdr:colOff>
      <xdr:row>95</xdr:row>
      <xdr:rowOff>85725</xdr:rowOff>
    </xdr:to>
    <xdr:cxnSp macro="">
      <xdr:nvCxnSpPr>
        <xdr:cNvPr id="168" name="Straight Connector 167">
          <a:extLst>
            <a:ext uri="{FF2B5EF4-FFF2-40B4-BE49-F238E27FC236}">
              <a16:creationId xmlns:a16="http://schemas.microsoft.com/office/drawing/2014/main" id="{EBF60B28-6B6B-462A-8369-C8647A27DDD4}"/>
            </a:ext>
          </a:extLst>
        </xdr:cNvPr>
        <xdr:cNvCxnSpPr/>
      </xdr:nvCxnSpPr>
      <xdr:spPr bwMode="auto">
        <a:xfrm>
          <a:off x="6924675" y="18154650"/>
          <a:ext cx="28575" cy="5753100"/>
        </a:xfrm>
        <a:prstGeom prst="line">
          <a:avLst/>
        </a:prstGeom>
        <a:solidFill>
          <a:schemeClr val="accent1"/>
        </a:solidFill>
        <a:ln w="12700" cap="flat" cmpd="sng" algn="ctr">
          <a:solidFill>
            <a:schemeClr val="accent2"/>
          </a:solidFill>
          <a:prstDash val="dash"/>
          <a:round/>
          <a:headEnd type="none" w="med" len="med"/>
          <a:tailEnd type="none" w="med" len="med"/>
        </a:ln>
        <a:effectLst/>
      </xdr:spPr>
    </xdr:cxnSp>
    <xdr:clientData/>
  </xdr:twoCellAnchor>
  <xdr:twoCellAnchor>
    <xdr:from>
      <xdr:col>9</xdr:col>
      <xdr:colOff>38100</xdr:colOff>
      <xdr:row>70</xdr:row>
      <xdr:rowOff>552451</xdr:rowOff>
    </xdr:from>
    <xdr:to>
      <xdr:col>17</xdr:col>
      <xdr:colOff>266700</xdr:colOff>
      <xdr:row>73</xdr:row>
      <xdr:rowOff>200025</xdr:rowOff>
    </xdr:to>
    <xdr:sp macro="" textlink="">
      <xdr:nvSpPr>
        <xdr:cNvPr id="169" name="TextBox 168">
          <a:extLst>
            <a:ext uri="{FF2B5EF4-FFF2-40B4-BE49-F238E27FC236}">
              <a16:creationId xmlns:a16="http://schemas.microsoft.com/office/drawing/2014/main" id="{8FB680CA-17FE-4E09-AA83-782D9801B0E1}"/>
            </a:ext>
          </a:extLst>
        </xdr:cNvPr>
        <xdr:cNvSpPr txBox="1"/>
      </xdr:nvSpPr>
      <xdr:spPr>
        <a:xfrm>
          <a:off x="7600950" y="18716626"/>
          <a:ext cx="5391150" cy="657224"/>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100" b="0" i="1" u="none" strike="noStrike">
              <a:solidFill>
                <a:sysClr val="windowText" lastClr="000000"/>
              </a:solidFill>
              <a:effectLst/>
              <a:latin typeface="+mn-lt"/>
              <a:ea typeface="+mn-ea"/>
              <a:cs typeface="+mn-cs"/>
            </a:rPr>
            <a:t>Based on your inputs to Table 3.1, these are the workforce FTEs that will be used to project workforce demand.</a:t>
          </a:r>
          <a:endParaRPr lang="en-AU" sz="1100" b="0" i="1">
            <a:solidFill>
              <a:sysClr val="windowText" lastClr="000000"/>
            </a:solidFill>
          </a:endParaRPr>
        </a:p>
      </xdr:txBody>
    </xdr:sp>
    <xdr:clientData/>
  </xdr:twoCellAnchor>
  <xdr:twoCellAnchor>
    <xdr:from>
      <xdr:col>2</xdr:col>
      <xdr:colOff>590549</xdr:colOff>
      <xdr:row>99</xdr:row>
      <xdr:rowOff>19050</xdr:rowOff>
    </xdr:from>
    <xdr:to>
      <xdr:col>17</xdr:col>
      <xdr:colOff>47624</xdr:colOff>
      <xdr:row>101</xdr:row>
      <xdr:rowOff>152400</xdr:rowOff>
    </xdr:to>
    <xdr:sp macro="" textlink="">
      <xdr:nvSpPr>
        <xdr:cNvPr id="170" name="TextBox 169">
          <a:extLst>
            <a:ext uri="{FF2B5EF4-FFF2-40B4-BE49-F238E27FC236}">
              <a16:creationId xmlns:a16="http://schemas.microsoft.com/office/drawing/2014/main" id="{CE3CED8A-2060-41CE-9DDB-ABA56F2603E0}"/>
            </a:ext>
          </a:extLst>
        </xdr:cNvPr>
        <xdr:cNvSpPr txBox="1"/>
      </xdr:nvSpPr>
      <xdr:spPr>
        <a:xfrm>
          <a:off x="3886199" y="25707975"/>
          <a:ext cx="8886825" cy="552450"/>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i="0" u="none" strike="noStrike">
              <a:solidFill>
                <a:schemeClr val="tx2"/>
              </a:solidFill>
              <a:effectLst/>
              <a:latin typeface="+mn-lt"/>
              <a:ea typeface="+mn-ea"/>
              <a:cs typeface="+mn-cs"/>
            </a:rPr>
            <a:t>INSTRUCTIONS</a:t>
          </a:r>
        </a:p>
        <a:p>
          <a:pPr algn="ctr"/>
          <a:r>
            <a:rPr lang="en-AU" sz="1100" b="0" i="0" u="none" strike="noStrike">
              <a:solidFill>
                <a:sysClr val="windowText" lastClr="000000"/>
              </a:solidFill>
              <a:effectLst/>
              <a:latin typeface="+mn-lt"/>
              <a:ea typeface="+mn-ea"/>
              <a:cs typeface="+mn-cs"/>
            </a:rPr>
            <a:t>If you have a more accurate representation of births and would like to use those in the model as a substitute, please enter these in the ORANGE cells below.</a:t>
          </a:r>
          <a:endParaRPr lang="en-AU" sz="1100" b="0" i="0">
            <a:solidFill>
              <a:sysClr val="windowText" lastClr="000000"/>
            </a:solidFill>
          </a:endParaRPr>
        </a:p>
      </xdr:txBody>
    </xdr:sp>
    <xdr:clientData/>
  </xdr:twoCellAnchor>
  <xdr:twoCellAnchor>
    <xdr:from>
      <xdr:col>5</xdr:col>
      <xdr:colOff>95247</xdr:colOff>
      <xdr:row>111</xdr:row>
      <xdr:rowOff>114303</xdr:rowOff>
    </xdr:from>
    <xdr:to>
      <xdr:col>8</xdr:col>
      <xdr:colOff>365965</xdr:colOff>
      <xdr:row>126</xdr:row>
      <xdr:rowOff>123824</xdr:rowOff>
    </xdr:to>
    <xdr:grpSp>
      <xdr:nvGrpSpPr>
        <xdr:cNvPr id="176" name="Group 175">
          <a:extLst>
            <a:ext uri="{FF2B5EF4-FFF2-40B4-BE49-F238E27FC236}">
              <a16:creationId xmlns:a16="http://schemas.microsoft.com/office/drawing/2014/main" id="{0E279288-E3E0-4B7E-BBAF-3DC58D9C7340}"/>
            </a:ext>
          </a:extLst>
        </xdr:cNvPr>
        <xdr:cNvGrpSpPr/>
      </xdr:nvGrpSpPr>
      <xdr:grpSpPr>
        <a:xfrm>
          <a:off x="5219697" y="28765503"/>
          <a:ext cx="2099518" cy="3362321"/>
          <a:chOff x="5289945" y="27534613"/>
          <a:chExt cx="1312275" cy="3324113"/>
        </a:xfrm>
      </xdr:grpSpPr>
      <xdr:sp macro="" textlink="">
        <xdr:nvSpPr>
          <xdr:cNvPr id="173" name="TextBox 172">
            <a:extLst>
              <a:ext uri="{FF2B5EF4-FFF2-40B4-BE49-F238E27FC236}">
                <a16:creationId xmlns:a16="http://schemas.microsoft.com/office/drawing/2014/main" id="{C1D3D662-129D-48A7-AEC4-96DD8BCCD7C1}"/>
              </a:ext>
            </a:extLst>
          </xdr:cNvPr>
          <xdr:cNvSpPr txBox="1"/>
        </xdr:nvSpPr>
        <xdr:spPr>
          <a:xfrm>
            <a:off x="5289945" y="27534613"/>
            <a:ext cx="1295400" cy="706253"/>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i="0" u="none" strike="noStrike">
                <a:solidFill>
                  <a:sysClr val="windowText" lastClr="000000"/>
                </a:solidFill>
                <a:effectLst/>
                <a:latin typeface="+mn-lt"/>
                <a:ea typeface="+mn-ea"/>
                <a:cs typeface="+mn-cs"/>
              </a:rPr>
              <a:t>OPTION 1</a:t>
            </a:r>
          </a:p>
          <a:p>
            <a:pPr algn="ctr"/>
            <a:r>
              <a:rPr lang="en-AU" sz="1100" b="0" i="1" u="none" strike="noStrike">
                <a:solidFill>
                  <a:sysClr val="windowText" lastClr="000000"/>
                </a:solidFill>
                <a:effectLst/>
                <a:latin typeface="+mn-lt"/>
                <a:ea typeface="+mn-ea"/>
                <a:cs typeface="+mn-cs"/>
              </a:rPr>
              <a:t>This is what is currently used in the model to project workforce supply.</a:t>
            </a:r>
          </a:p>
        </xdr:txBody>
      </xdr:sp>
      <xdr:sp macro="" textlink="">
        <xdr:nvSpPr>
          <xdr:cNvPr id="174" name="TextBox 173">
            <a:extLst>
              <a:ext uri="{FF2B5EF4-FFF2-40B4-BE49-F238E27FC236}">
                <a16:creationId xmlns:a16="http://schemas.microsoft.com/office/drawing/2014/main" id="{A86168D2-441F-4B23-A7BA-A8881CAB33FC}"/>
              </a:ext>
            </a:extLst>
          </xdr:cNvPr>
          <xdr:cNvSpPr txBox="1"/>
        </xdr:nvSpPr>
        <xdr:spPr>
          <a:xfrm>
            <a:off x="5289948" y="28317486"/>
            <a:ext cx="1306022" cy="1279393"/>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i="0" u="none" strike="noStrike">
                <a:solidFill>
                  <a:sysClr val="windowText" lastClr="000000"/>
                </a:solidFill>
                <a:effectLst/>
                <a:latin typeface="+mn-lt"/>
                <a:ea typeface="+mn-ea"/>
                <a:cs typeface="+mn-cs"/>
              </a:rPr>
              <a:t>OPTION 2</a:t>
            </a:r>
          </a:p>
          <a:p>
            <a:pPr algn="ctr"/>
            <a:r>
              <a:rPr lang="en-AU" sz="1100" b="0" i="1" u="none" strike="noStrike">
                <a:solidFill>
                  <a:sysClr val="windowText" lastClr="000000"/>
                </a:solidFill>
                <a:effectLst/>
                <a:latin typeface="+mn-lt"/>
                <a:ea typeface="+mn-ea"/>
                <a:cs typeface="+mn-cs"/>
              </a:rPr>
              <a:t>Use the headcount of MCH nurses in your council</a:t>
            </a:r>
            <a:r>
              <a:rPr lang="en-AU" sz="1100" b="0" i="1" u="none" strike="noStrike" baseline="0">
                <a:solidFill>
                  <a:sysClr val="windowText" lastClr="000000"/>
                </a:solidFill>
                <a:effectLst/>
                <a:latin typeface="+mn-lt"/>
                <a:ea typeface="+mn-ea"/>
                <a:cs typeface="+mn-cs"/>
              </a:rPr>
              <a:t> (as reported to DHHS) if you want council-specific workforce supply projections.</a:t>
            </a:r>
            <a:endParaRPr lang="en-AU" sz="1100" b="0" i="1" u="none" strike="noStrike">
              <a:solidFill>
                <a:sysClr val="windowText" lastClr="000000"/>
              </a:solidFill>
              <a:effectLst/>
              <a:latin typeface="+mn-lt"/>
              <a:ea typeface="+mn-ea"/>
              <a:cs typeface="+mn-cs"/>
            </a:endParaRPr>
          </a:p>
        </xdr:txBody>
      </xdr:sp>
      <xdr:sp macro="" textlink="">
        <xdr:nvSpPr>
          <xdr:cNvPr id="175" name="TextBox 174">
            <a:extLst>
              <a:ext uri="{FF2B5EF4-FFF2-40B4-BE49-F238E27FC236}">
                <a16:creationId xmlns:a16="http://schemas.microsoft.com/office/drawing/2014/main" id="{DB029548-6026-46A3-9C64-64F9A1713207}"/>
              </a:ext>
            </a:extLst>
          </xdr:cNvPr>
          <xdr:cNvSpPr txBox="1"/>
        </xdr:nvSpPr>
        <xdr:spPr>
          <a:xfrm>
            <a:off x="5293073" y="29691045"/>
            <a:ext cx="1309147" cy="1167681"/>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i="0" u="none" strike="noStrike">
                <a:solidFill>
                  <a:sysClr val="windowText" lastClr="000000"/>
                </a:solidFill>
                <a:effectLst/>
                <a:latin typeface="+mn-lt"/>
                <a:ea typeface="+mn-ea"/>
                <a:cs typeface="+mn-cs"/>
              </a:rPr>
              <a:t>OPTION 3</a:t>
            </a:r>
          </a:p>
          <a:p>
            <a:pPr algn="ctr"/>
            <a:r>
              <a:rPr lang="en-AU" sz="1100" b="0" i="1" u="none" strike="noStrike">
                <a:solidFill>
                  <a:sysClr val="windowText" lastClr="000000"/>
                </a:solidFill>
                <a:effectLst/>
                <a:latin typeface="+mn-lt"/>
                <a:ea typeface="+mn-ea"/>
                <a:cs typeface="+mn-cs"/>
              </a:rPr>
              <a:t>If you would like to use your own headcount estimate of MCH</a:t>
            </a:r>
            <a:r>
              <a:rPr lang="en-AU" sz="1100" b="0" i="1" u="none" strike="noStrike" baseline="0">
                <a:solidFill>
                  <a:sysClr val="windowText" lastClr="000000"/>
                </a:solidFill>
                <a:effectLst/>
                <a:latin typeface="+mn-lt"/>
                <a:ea typeface="+mn-ea"/>
                <a:cs typeface="+mn-cs"/>
              </a:rPr>
              <a:t> nurses instead, please enter them in the ORANGE cells.</a:t>
            </a:r>
            <a:endParaRPr lang="en-AU" sz="1100" b="0" i="1" u="none" strike="noStrike">
              <a:solidFill>
                <a:sysClr val="windowText" lastClr="000000"/>
              </a:solidFill>
              <a:effectLst/>
              <a:latin typeface="+mn-lt"/>
              <a:ea typeface="+mn-ea"/>
              <a:cs typeface="+mn-cs"/>
            </a:endParaRPr>
          </a:p>
        </xdr:txBody>
      </xdr:sp>
    </xdr:grpSp>
    <xdr:clientData/>
  </xdr:twoCellAnchor>
  <xdr:twoCellAnchor>
    <xdr:from>
      <xdr:col>8</xdr:col>
      <xdr:colOff>495300</xdr:colOff>
      <xdr:row>108</xdr:row>
      <xdr:rowOff>114300</xdr:rowOff>
    </xdr:from>
    <xdr:to>
      <xdr:col>8</xdr:col>
      <xdr:colOff>495300</xdr:colOff>
      <xdr:row>128</xdr:row>
      <xdr:rowOff>28575</xdr:rowOff>
    </xdr:to>
    <xdr:cxnSp macro="">
      <xdr:nvCxnSpPr>
        <xdr:cNvPr id="179" name="Straight Connector 178">
          <a:extLst>
            <a:ext uri="{FF2B5EF4-FFF2-40B4-BE49-F238E27FC236}">
              <a16:creationId xmlns:a16="http://schemas.microsoft.com/office/drawing/2014/main" id="{F511A342-B34E-4817-A698-77341A87E85A}"/>
            </a:ext>
          </a:extLst>
        </xdr:cNvPr>
        <xdr:cNvCxnSpPr/>
      </xdr:nvCxnSpPr>
      <xdr:spPr bwMode="auto">
        <a:xfrm>
          <a:off x="7448550" y="27127200"/>
          <a:ext cx="0" cy="4343400"/>
        </a:xfrm>
        <a:prstGeom prst="line">
          <a:avLst/>
        </a:prstGeom>
        <a:solidFill>
          <a:schemeClr val="accent1"/>
        </a:solidFill>
        <a:ln w="12700" cap="flat" cmpd="sng" algn="ctr">
          <a:solidFill>
            <a:schemeClr val="accent2"/>
          </a:solidFill>
          <a:prstDash val="dash"/>
          <a:round/>
          <a:headEnd type="none" w="med" len="med"/>
          <a:tailEnd type="none" w="med" len="med"/>
        </a:ln>
        <a:effectLst/>
      </xdr:spPr>
    </xdr:cxnSp>
    <xdr:clientData/>
  </xdr:twoCellAnchor>
  <xdr:twoCellAnchor>
    <xdr:from>
      <xdr:col>2</xdr:col>
      <xdr:colOff>600075</xdr:colOff>
      <xdr:row>136</xdr:row>
      <xdr:rowOff>66674</xdr:rowOff>
    </xdr:from>
    <xdr:to>
      <xdr:col>17</xdr:col>
      <xdr:colOff>38100</xdr:colOff>
      <xdr:row>140</xdr:row>
      <xdr:rowOff>57149</xdr:rowOff>
    </xdr:to>
    <xdr:sp macro="" textlink="">
      <xdr:nvSpPr>
        <xdr:cNvPr id="182" name="TextBox 181">
          <a:extLst>
            <a:ext uri="{FF2B5EF4-FFF2-40B4-BE49-F238E27FC236}">
              <a16:creationId xmlns:a16="http://schemas.microsoft.com/office/drawing/2014/main" id="{0C982687-59A2-4C71-81B8-C4C94F61055F}"/>
            </a:ext>
          </a:extLst>
        </xdr:cNvPr>
        <xdr:cNvSpPr txBox="1"/>
      </xdr:nvSpPr>
      <xdr:spPr>
        <a:xfrm>
          <a:off x="3895725" y="34242374"/>
          <a:ext cx="8867775" cy="828675"/>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i="0" u="none" strike="noStrike">
              <a:solidFill>
                <a:schemeClr val="tx2"/>
              </a:solidFill>
              <a:effectLst/>
              <a:latin typeface="+mn-lt"/>
              <a:ea typeface="+mn-ea"/>
              <a:cs typeface="+mn-cs"/>
            </a:rPr>
            <a:t>INSTRUCTIONS</a:t>
          </a:r>
        </a:p>
        <a:p>
          <a:pPr algn="ctr"/>
          <a:r>
            <a:rPr lang="en-AU" sz="1100" b="0" i="0" u="none" strike="noStrike">
              <a:solidFill>
                <a:sysClr val="windowText" lastClr="000000"/>
              </a:solidFill>
              <a:effectLst/>
              <a:latin typeface="+mn-lt"/>
              <a:ea typeface="+mn-ea"/>
              <a:cs typeface="+mn-cs"/>
            </a:rPr>
            <a:t>The model projects council-level FTE supply of staff using the growth in new graduates entering the workforce uniformly across all councils. If you have a certain expectation of the number of FTEs commencing within your service, please</a:t>
          </a:r>
          <a:r>
            <a:rPr lang="en-AU" sz="1100" b="0" i="0" u="none" strike="noStrike" baseline="0">
              <a:solidFill>
                <a:sysClr val="windowText" lastClr="000000"/>
              </a:solidFill>
              <a:effectLst/>
              <a:latin typeface="+mn-lt"/>
              <a:ea typeface="+mn-ea"/>
              <a:cs typeface="+mn-cs"/>
            </a:rPr>
            <a:t> enter them in the ORANGE </a:t>
          </a:r>
          <a:r>
            <a:rPr lang="en-AU" sz="1100" b="0" i="0" u="none" strike="noStrike">
              <a:solidFill>
                <a:sysClr val="windowText" lastClr="000000"/>
              </a:solidFill>
              <a:effectLst/>
              <a:latin typeface="+mn-lt"/>
              <a:ea typeface="+mn-ea"/>
              <a:cs typeface="+mn-cs"/>
            </a:rPr>
            <a:t>cells below.</a:t>
          </a:r>
          <a:endParaRPr lang="en-AU" sz="1100" b="0" i="0">
            <a:solidFill>
              <a:sysClr val="windowText" lastClr="000000"/>
            </a:solidFill>
          </a:endParaRPr>
        </a:p>
      </xdr:txBody>
    </xdr:sp>
    <xdr:clientData/>
  </xdr:twoCellAnchor>
  <xdr:twoCellAnchor>
    <xdr:from>
      <xdr:col>0</xdr:col>
      <xdr:colOff>85725</xdr:colOff>
      <xdr:row>192</xdr:row>
      <xdr:rowOff>38100</xdr:rowOff>
    </xdr:from>
    <xdr:to>
      <xdr:col>0</xdr:col>
      <xdr:colOff>1724026</xdr:colOff>
      <xdr:row>199</xdr:row>
      <xdr:rowOff>0</xdr:rowOff>
    </xdr:to>
    <xdr:sp macro="" textlink="">
      <xdr:nvSpPr>
        <xdr:cNvPr id="184" name="TextBox 183">
          <a:extLst>
            <a:ext uri="{FF2B5EF4-FFF2-40B4-BE49-F238E27FC236}">
              <a16:creationId xmlns:a16="http://schemas.microsoft.com/office/drawing/2014/main" id="{9636391E-03B1-4367-86DA-D582D392B8FF}"/>
            </a:ext>
          </a:extLst>
        </xdr:cNvPr>
        <xdr:cNvSpPr txBox="1"/>
      </xdr:nvSpPr>
      <xdr:spPr>
        <a:xfrm>
          <a:off x="85725" y="45262800"/>
          <a:ext cx="1638301" cy="1428750"/>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0" i="0" u="none" strike="noStrike">
              <a:solidFill>
                <a:sysClr val="windowText" lastClr="000000"/>
              </a:solidFill>
              <a:effectLst/>
              <a:latin typeface="+mn-lt"/>
              <a:ea typeface="+mn-ea"/>
              <a:cs typeface="+mn-cs"/>
            </a:rPr>
            <a:t>Figure 4.4 compares the workforce gap in your council with your neighbouring councils by</a:t>
          </a:r>
          <a:r>
            <a:rPr lang="en-AU" sz="1100" b="0" i="0" u="none" strike="noStrike" baseline="0">
              <a:solidFill>
                <a:sysClr val="windowText" lastClr="000000"/>
              </a:solidFill>
              <a:effectLst/>
              <a:latin typeface="+mn-lt"/>
              <a:ea typeface="+mn-ea"/>
              <a:cs typeface="+mn-cs"/>
            </a:rPr>
            <a:t> default</a:t>
          </a:r>
          <a:r>
            <a:rPr lang="en-AU" sz="1100" b="0" i="0" u="none" strike="noStrike">
              <a:solidFill>
                <a:sysClr val="windowText" lastClr="000000"/>
              </a:solidFill>
              <a:effectLst/>
              <a:latin typeface="+mn-lt"/>
              <a:ea typeface="+mn-ea"/>
              <a:cs typeface="+mn-cs"/>
            </a:rPr>
            <a:t>.</a:t>
          </a:r>
          <a:r>
            <a:rPr lang="en-AU" sz="1100" b="0" i="0" u="none" strike="noStrike" baseline="0">
              <a:solidFill>
                <a:sysClr val="windowText" lastClr="000000"/>
              </a:solidFill>
              <a:effectLst/>
              <a:latin typeface="+mn-lt"/>
              <a:ea typeface="+mn-ea"/>
              <a:cs typeface="+mn-cs"/>
            </a:rPr>
            <a:t> Here are your neighbouring councils.</a:t>
          </a:r>
        </a:p>
      </xdr:txBody>
    </xdr:sp>
    <xdr:clientData/>
  </xdr:twoCellAnchor>
  <xdr:twoCellAnchor>
    <xdr:from>
      <xdr:col>2</xdr:col>
      <xdr:colOff>142875</xdr:colOff>
      <xdr:row>186</xdr:row>
      <xdr:rowOff>123825</xdr:rowOff>
    </xdr:from>
    <xdr:to>
      <xdr:col>6</xdr:col>
      <xdr:colOff>123824</xdr:colOff>
      <xdr:row>191</xdr:row>
      <xdr:rowOff>161925</xdr:rowOff>
    </xdr:to>
    <xdr:sp macro="" textlink="">
      <xdr:nvSpPr>
        <xdr:cNvPr id="188" name="TextBox 187">
          <a:extLst>
            <a:ext uri="{FF2B5EF4-FFF2-40B4-BE49-F238E27FC236}">
              <a16:creationId xmlns:a16="http://schemas.microsoft.com/office/drawing/2014/main" id="{081839EB-D1C4-4C80-9A65-935069FB36C3}"/>
            </a:ext>
          </a:extLst>
        </xdr:cNvPr>
        <xdr:cNvSpPr txBox="1"/>
      </xdr:nvSpPr>
      <xdr:spPr>
        <a:xfrm>
          <a:off x="3438525" y="45024675"/>
          <a:ext cx="2419349" cy="1133475"/>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i="0" u="none" strike="noStrike">
              <a:solidFill>
                <a:schemeClr val="tx2"/>
              </a:solidFill>
              <a:effectLst/>
              <a:latin typeface="+mn-lt"/>
              <a:ea typeface="+mn-ea"/>
              <a:cs typeface="+mn-cs"/>
            </a:rPr>
            <a:t>INSTRUCTIONS</a:t>
          </a:r>
        </a:p>
        <a:p>
          <a:pPr algn="ctr"/>
          <a:r>
            <a:rPr lang="en-AU" sz="1100" b="0" i="0" u="none" strike="noStrike">
              <a:solidFill>
                <a:sysClr val="windowText" lastClr="000000"/>
              </a:solidFill>
              <a:effectLst/>
              <a:latin typeface="+mn-lt"/>
              <a:ea typeface="+mn-ea"/>
              <a:cs typeface="+mn-cs"/>
            </a:rPr>
            <a:t>If you would like to compare your workforce gap with councils of your choice, please enter them in the ORANGE cells below.</a:t>
          </a:r>
          <a:endParaRPr lang="en-AU" sz="1100" b="0" i="0">
            <a:solidFill>
              <a:sysClr val="windowText" lastClr="000000"/>
            </a:solidFill>
          </a:endParaRPr>
        </a:p>
      </xdr:txBody>
    </xdr:sp>
    <xdr:clientData/>
  </xdr:twoCellAnchor>
  <xdr:twoCellAnchor>
    <xdr:from>
      <xdr:col>6</xdr:col>
      <xdr:colOff>581024</xdr:colOff>
      <xdr:row>188</xdr:row>
      <xdr:rowOff>47625</xdr:rowOff>
    </xdr:from>
    <xdr:to>
      <xdr:col>10</xdr:col>
      <xdr:colOff>152399</xdr:colOff>
      <xdr:row>191</xdr:row>
      <xdr:rowOff>133350</xdr:rowOff>
    </xdr:to>
    <xdr:sp macro="" textlink="">
      <xdr:nvSpPr>
        <xdr:cNvPr id="189" name="TextBox 188">
          <a:extLst>
            <a:ext uri="{FF2B5EF4-FFF2-40B4-BE49-F238E27FC236}">
              <a16:creationId xmlns:a16="http://schemas.microsoft.com/office/drawing/2014/main" id="{1B3B2F6C-699E-44CB-AA96-FAA888FB2DB2}"/>
            </a:ext>
          </a:extLst>
        </xdr:cNvPr>
        <xdr:cNvSpPr txBox="1"/>
      </xdr:nvSpPr>
      <xdr:spPr>
        <a:xfrm>
          <a:off x="6315074" y="44434125"/>
          <a:ext cx="2009775" cy="714375"/>
        </a:xfrm>
        <a:prstGeom prst="rect">
          <a:avLst/>
        </a:prstGeom>
        <a:solidFill>
          <a:schemeClr val="accent2">
            <a:lumMod val="20000"/>
            <a:lumOff val="80000"/>
          </a:schemeClr>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0" i="0" u="none" strike="noStrike">
              <a:solidFill>
                <a:sysClr val="windowText" lastClr="000000"/>
              </a:solidFill>
              <a:effectLst/>
              <a:latin typeface="+mn-lt"/>
              <a:ea typeface="+mn-ea"/>
              <a:cs typeface="+mn-cs"/>
            </a:rPr>
            <a:t>Based on your inputs, the councils below are</a:t>
          </a:r>
          <a:r>
            <a:rPr lang="en-AU" sz="1100" b="0" i="0" u="none" strike="noStrike" baseline="0">
              <a:solidFill>
                <a:sysClr val="windowText" lastClr="000000"/>
              </a:solidFill>
              <a:effectLst/>
              <a:latin typeface="+mn-lt"/>
              <a:ea typeface="+mn-ea"/>
              <a:cs typeface="+mn-cs"/>
            </a:rPr>
            <a:t> illustrated in Figure 4.4</a:t>
          </a:r>
        </a:p>
      </xdr:txBody>
    </xdr:sp>
    <xdr:clientData/>
  </xdr:twoCellAnchor>
  <xdr:twoCellAnchor>
    <xdr:from>
      <xdr:col>0</xdr:col>
      <xdr:colOff>57151</xdr:colOff>
      <xdr:row>134</xdr:row>
      <xdr:rowOff>209549</xdr:rowOff>
    </xdr:from>
    <xdr:to>
      <xdr:col>0</xdr:col>
      <xdr:colOff>1733551</xdr:colOff>
      <xdr:row>143</xdr:row>
      <xdr:rowOff>161924</xdr:rowOff>
    </xdr:to>
    <xdr:sp macro="" textlink="">
      <xdr:nvSpPr>
        <xdr:cNvPr id="62" name="TextBox 61">
          <a:extLst>
            <a:ext uri="{FF2B5EF4-FFF2-40B4-BE49-F238E27FC236}">
              <a16:creationId xmlns:a16="http://schemas.microsoft.com/office/drawing/2014/main" id="{1E49B4C3-5E7C-46A4-803E-5D8E3B5AE7A6}"/>
            </a:ext>
          </a:extLst>
        </xdr:cNvPr>
        <xdr:cNvSpPr txBox="1"/>
      </xdr:nvSpPr>
      <xdr:spPr>
        <a:xfrm>
          <a:off x="57151" y="33966149"/>
          <a:ext cx="1676400" cy="1838325"/>
        </a:xfrm>
        <a:prstGeom prst="rect">
          <a:avLst/>
        </a:prstGeom>
        <a:solidFill>
          <a:schemeClr val="accent3">
            <a:lumMod val="20000"/>
            <a:lumOff val="80000"/>
          </a:schemeClr>
        </a:solidFill>
        <a:ln w="9525" cmpd="sng">
          <a:solidFill>
            <a:schemeClr val="accent3"/>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i="0" u="none" strike="noStrike">
              <a:solidFill>
                <a:sysClr val="windowText" lastClr="000000"/>
              </a:solidFill>
              <a:effectLst/>
              <a:latin typeface="+mn-lt"/>
              <a:ea typeface="+mn-ea"/>
              <a:cs typeface="+mn-cs"/>
            </a:rPr>
            <a:t>NOTE</a:t>
          </a:r>
        </a:p>
        <a:p>
          <a:pPr algn="ctr"/>
          <a:endParaRPr lang="en-AU" sz="1100" b="1" i="0" u="none" strike="noStrike">
            <a:solidFill>
              <a:sysClr val="windowText" lastClr="000000"/>
            </a:solidFill>
            <a:effectLst/>
            <a:latin typeface="+mn-lt"/>
            <a:ea typeface="+mn-ea"/>
            <a:cs typeface="+mn-cs"/>
          </a:endParaRPr>
        </a:p>
        <a:p>
          <a:pPr algn="l"/>
          <a:r>
            <a:rPr lang="en-AU" sz="1050" b="0" i="0" u="none" strike="noStrike">
              <a:solidFill>
                <a:sysClr val="windowText" lastClr="000000"/>
              </a:solidFill>
              <a:effectLst/>
              <a:latin typeface="+mn-lt"/>
              <a:ea typeface="+mn-ea"/>
              <a:cs typeface="+mn-cs"/>
            </a:rPr>
            <a:t>Current FTEs</a:t>
          </a:r>
          <a:r>
            <a:rPr lang="en-AU" sz="1050" b="0" i="0" u="none" strike="noStrike" baseline="0">
              <a:solidFill>
                <a:sysClr val="windowText" lastClr="000000"/>
              </a:solidFill>
              <a:effectLst/>
              <a:latin typeface="+mn-lt"/>
              <a:ea typeface="+mn-ea"/>
              <a:cs typeface="+mn-cs"/>
            </a:rPr>
            <a:t> here comprises: </a:t>
          </a:r>
        </a:p>
        <a:p>
          <a:pPr algn="l"/>
          <a:r>
            <a:rPr lang="en-AU" sz="1050" b="0" i="0" u="none" strike="noStrike" baseline="0">
              <a:solidFill>
                <a:sysClr val="windowText" lastClr="000000"/>
              </a:solidFill>
              <a:effectLst/>
              <a:latin typeface="+mn-lt"/>
              <a:ea typeface="+mn-ea"/>
              <a:cs typeface="+mn-cs"/>
            </a:rPr>
            <a:t>- Universal  MCH nurses</a:t>
          </a:r>
        </a:p>
        <a:p>
          <a:pPr algn="l"/>
          <a:r>
            <a:rPr lang="en-AU" sz="1050" b="0" i="0" u="none" strike="noStrike" baseline="0">
              <a:solidFill>
                <a:sysClr val="windowText" lastClr="000000"/>
              </a:solidFill>
              <a:effectLst/>
              <a:latin typeface="+mn-lt"/>
              <a:ea typeface="+mn-ea"/>
              <a:cs typeface="+mn-cs"/>
            </a:rPr>
            <a:t>- Enhanced MCH nurses </a:t>
          </a:r>
        </a:p>
        <a:p>
          <a:pPr algn="l"/>
          <a:r>
            <a:rPr lang="en-AU" sz="1050" b="0" i="0" u="none" strike="noStrike" baseline="0">
              <a:solidFill>
                <a:sysClr val="windowText" lastClr="000000"/>
              </a:solidFill>
              <a:effectLst/>
              <a:latin typeface="+mn-lt"/>
              <a:ea typeface="+mn-ea"/>
              <a:cs typeface="+mn-cs"/>
            </a:rPr>
            <a:t>- Enhanced MCH non nurses.</a:t>
          </a:r>
          <a:endParaRPr lang="en-AU" sz="1050" b="0" i="0">
            <a:solidFill>
              <a:sysClr val="windowText" lastClr="000000"/>
            </a:solidFill>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0.08307</cdr:x>
      <cdr:y>6.28664E-7</cdr:y>
    </cdr:from>
    <cdr:to>
      <cdr:x>0.30671</cdr:x>
      <cdr:y>0.9521</cdr:y>
    </cdr:to>
    <cdr:sp macro="" textlink="">
      <cdr:nvSpPr>
        <cdr:cNvPr id="3" name="Rectangle: Rounded Corners 2">
          <a:extLst xmlns:a="http://schemas.openxmlformats.org/drawingml/2006/main">
            <a:ext uri="{FF2B5EF4-FFF2-40B4-BE49-F238E27FC236}">
              <a16:creationId xmlns:a16="http://schemas.microsoft.com/office/drawing/2014/main" id="{6DEA9A81-6014-4076-990A-30E274943DA4}"/>
            </a:ext>
          </a:extLst>
        </cdr:cNvPr>
        <cdr:cNvSpPr/>
      </cdr:nvSpPr>
      <cdr:spPr bwMode="auto">
        <a:xfrm xmlns:a="http://schemas.openxmlformats.org/drawingml/2006/main">
          <a:off x="495300" y="2"/>
          <a:ext cx="1333500" cy="3028963"/>
        </a:xfrm>
        <a:prstGeom xmlns:a="http://schemas.openxmlformats.org/drawingml/2006/main" prst="roundRect">
          <a:avLst/>
        </a:prstGeom>
        <a:solidFill xmlns:a="http://schemas.openxmlformats.org/drawingml/2006/main">
          <a:schemeClr val="accent1">
            <a:alpha val="0"/>
          </a:schemeClr>
        </a:solidFill>
        <a:ln xmlns:a="http://schemas.openxmlformats.org/drawingml/2006/main" w="9525" cap="flat" cmpd="sng" algn="ctr">
          <a:solidFill>
            <a:schemeClr val="tx2"/>
          </a:solidFill>
          <a:prstDash val="dash"/>
          <a:round/>
          <a:headEnd type="none" w="med" len="med"/>
          <a:tailEnd type="none" w="med" len="med"/>
        </a:ln>
        <a:effectLst xmlns:a="http://schemas.openxmlformats.org/drawingml/2006/mai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AA_Excel_Theme_2">
  <a:themeElements>
    <a:clrScheme name="AA Colours">
      <a:dk1>
        <a:sysClr val="windowText" lastClr="000000"/>
      </a:dk1>
      <a:lt1>
        <a:sysClr val="window" lastClr="FFFFFF"/>
      </a:lt1>
      <a:dk2>
        <a:srgbClr val="9D57A6"/>
      </a:dk2>
      <a:lt2>
        <a:srgbClr val="F4E7ED"/>
      </a:lt2>
      <a:accent1>
        <a:srgbClr val="9D57A6"/>
      </a:accent1>
      <a:accent2>
        <a:srgbClr val="FFAE3B"/>
      </a:accent2>
      <a:accent3>
        <a:srgbClr val="A5A5A5"/>
      </a:accent3>
      <a:accent4>
        <a:srgbClr val="B689C1"/>
      </a:accent4>
      <a:accent5>
        <a:srgbClr val="EA8B00"/>
      </a:accent5>
      <a:accent6>
        <a:srgbClr val="BFBFBF"/>
      </a:accent6>
      <a:hlink>
        <a:srgbClr val="FFDE66"/>
      </a:hlink>
      <a:folHlink>
        <a:srgbClr val="D490C5"/>
      </a:folHlink>
    </a:clrScheme>
    <a:fontScheme name="AA Fonts">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1800" b="0" i="0" u="none" strike="noStrike" cap="none" normalizeH="0" baseline="0" smtClean="0">
            <a:ln>
              <a:noFill/>
            </a:ln>
            <a:solidFill>
              <a:schemeClr val="tx1"/>
            </a:solidFill>
            <a:effectLst/>
            <a:latin typeface="Arial" charset="0"/>
          </a:defRPr>
        </a:defPPr>
      </a:lstStyle>
    </a:lnDef>
  </a:objectDefaults>
  <a:extraClrSchemeLst>
    <a:extraClrScheme>
      <a:clrScheme name="Office Theme 1">
        <a:dk1>
          <a:srgbClr val="25252F"/>
        </a:dk1>
        <a:lt1>
          <a:srgbClr val="9999FF"/>
        </a:lt1>
        <a:dk2>
          <a:srgbClr val="000000"/>
        </a:dk2>
        <a:lt2>
          <a:srgbClr val="FFFFFF"/>
        </a:lt2>
        <a:accent1>
          <a:srgbClr val="3366FF"/>
        </a:accent1>
        <a:accent2>
          <a:srgbClr val="003399"/>
        </a:accent2>
        <a:accent3>
          <a:srgbClr val="AAAAAA"/>
        </a:accent3>
        <a:accent4>
          <a:srgbClr val="8282DA"/>
        </a:accent4>
        <a:accent5>
          <a:srgbClr val="ADB8FF"/>
        </a:accent5>
        <a:accent6>
          <a:srgbClr val="002D8A"/>
        </a:accent6>
        <a:hlink>
          <a:srgbClr val="009999"/>
        </a:hlink>
        <a:folHlink>
          <a:srgbClr val="B2B2B2"/>
        </a:folHlink>
      </a:clrScheme>
      <a:clrMap bg1="dk2" tx1="lt1" bg2="dk1" tx2="lt2" accent1="accent1" accent2="accent2" accent3="accent3" accent4="accent4" accent5="accent5" accent6="accent6" hlink="hlink" folHlink="folHlink"/>
    </a:extraClrScheme>
    <a:extraClrScheme>
      <a:clrScheme name="Office Theme 2">
        <a:dk1>
          <a:srgbClr val="314183"/>
        </a:dk1>
        <a:lt1>
          <a:srgbClr val="FFFFFF"/>
        </a:lt1>
        <a:dk2>
          <a:srgbClr val="0B1E45"/>
        </a:dk2>
        <a:lt2>
          <a:srgbClr val="FFFFFF"/>
        </a:lt2>
        <a:accent1>
          <a:srgbClr val="6666FF"/>
        </a:accent1>
        <a:accent2>
          <a:srgbClr val="0066FF"/>
        </a:accent2>
        <a:accent3>
          <a:srgbClr val="AAABB0"/>
        </a:accent3>
        <a:accent4>
          <a:srgbClr val="DADADA"/>
        </a:accent4>
        <a:accent5>
          <a:srgbClr val="B8B8FF"/>
        </a:accent5>
        <a:accent6>
          <a:srgbClr val="005CE7"/>
        </a:accent6>
        <a:hlink>
          <a:srgbClr val="006699"/>
        </a:hlink>
        <a:folHlink>
          <a:srgbClr val="B2B2B2"/>
        </a:folHlink>
      </a:clrScheme>
      <a:clrMap bg1="dk2" tx1="lt1" bg2="dk1" tx2="lt2" accent1="accent1" accent2="accent2" accent3="accent3" accent4="accent4" accent5="accent5" accent6="accent6" hlink="hlink" folHlink="folHlink"/>
    </a:extraClrScheme>
    <a:extraClrScheme>
      <a:clrScheme name="Office Theme 3">
        <a:dk1>
          <a:srgbClr val="194349"/>
        </a:dk1>
        <a:lt1>
          <a:srgbClr val="FFFFCC"/>
        </a:lt1>
        <a:dk2>
          <a:srgbClr val="006666"/>
        </a:dk2>
        <a:lt2>
          <a:srgbClr val="FFFFFF"/>
        </a:lt2>
        <a:accent1>
          <a:srgbClr val="99CC00"/>
        </a:accent1>
        <a:accent2>
          <a:srgbClr val="00B6B2"/>
        </a:accent2>
        <a:accent3>
          <a:srgbClr val="AAB8B8"/>
        </a:accent3>
        <a:accent4>
          <a:srgbClr val="DADAAE"/>
        </a:accent4>
        <a:accent5>
          <a:srgbClr val="CAE2AA"/>
        </a:accent5>
        <a:accent6>
          <a:srgbClr val="00A5A1"/>
        </a:accent6>
        <a:hlink>
          <a:srgbClr val="669900"/>
        </a:hlink>
        <a:folHlink>
          <a:srgbClr val="666699"/>
        </a:folHlink>
      </a:clrScheme>
      <a:clrMap bg1="dk2" tx1="lt1" bg2="dk1" tx2="lt2" accent1="accent1" accent2="accent2" accent3="accent3" accent4="accent4" accent5="accent5" accent6="accent6" hlink="hlink" folHlink="folHlink"/>
    </a:extraClrScheme>
    <a:extraClrScheme>
      <a:clrScheme name="Office Theme 4">
        <a:dk1>
          <a:srgbClr val="194349"/>
        </a:dk1>
        <a:lt1>
          <a:srgbClr val="FFFFCC"/>
        </a:lt1>
        <a:dk2>
          <a:srgbClr val="0000FF"/>
        </a:dk2>
        <a:lt2>
          <a:srgbClr val="FFFFFF"/>
        </a:lt2>
        <a:accent1>
          <a:srgbClr val="0099FF"/>
        </a:accent1>
        <a:accent2>
          <a:srgbClr val="33CC33"/>
        </a:accent2>
        <a:accent3>
          <a:srgbClr val="AAAAFF"/>
        </a:accent3>
        <a:accent4>
          <a:srgbClr val="DADAAE"/>
        </a:accent4>
        <a:accent5>
          <a:srgbClr val="AACAFF"/>
        </a:accent5>
        <a:accent6>
          <a:srgbClr val="2DB92D"/>
        </a:accent6>
        <a:hlink>
          <a:srgbClr val="CC9900"/>
        </a:hlink>
        <a:folHlink>
          <a:srgbClr val="B2B2B2"/>
        </a:folHlink>
      </a:clrScheme>
      <a:clrMap bg1="dk2" tx1="lt1" bg2="dk1" tx2="lt2" accent1="accent1" accent2="accent2" accent3="accent3" accent4="accent4" accent5="accent5" accent6="accent6" hlink="hlink" folHlink="folHlink"/>
    </a:extraClrScheme>
    <a:extraClrScheme>
      <a:clrScheme name="Office Theme 5">
        <a:dk1>
          <a:srgbClr val="194349"/>
        </a:dk1>
        <a:lt1>
          <a:srgbClr val="FFFFCC"/>
        </a:lt1>
        <a:dk2>
          <a:srgbClr val="72A497"/>
        </a:dk2>
        <a:lt2>
          <a:srgbClr val="000000"/>
        </a:lt2>
        <a:accent1>
          <a:srgbClr val="805D32"/>
        </a:accent1>
        <a:accent2>
          <a:srgbClr val="7D2F3C"/>
        </a:accent2>
        <a:accent3>
          <a:srgbClr val="BCCFC9"/>
        </a:accent3>
        <a:accent4>
          <a:srgbClr val="DADAAE"/>
        </a:accent4>
        <a:accent5>
          <a:srgbClr val="C0B6AD"/>
        </a:accent5>
        <a:accent6>
          <a:srgbClr val="712A35"/>
        </a:accent6>
        <a:hlink>
          <a:srgbClr val="CC9900"/>
        </a:hlink>
        <a:folHlink>
          <a:srgbClr val="B2B2B2"/>
        </a:folHlink>
      </a:clrScheme>
      <a:clrMap bg1="dk2" tx1="lt1" bg2="dk1" tx2="lt2" accent1="accent1" accent2="accent2" accent3="accent3" accent4="accent4" accent5="accent5" accent6="accent6" hlink="hlink" folHlink="folHlink"/>
    </a:extraClrScheme>
    <a:extraClrScheme>
      <a:clrScheme name="Office Theme 6">
        <a:dk1>
          <a:srgbClr val="1C1C1C"/>
        </a:dk1>
        <a:lt1>
          <a:srgbClr val="FFFFFF"/>
        </a:lt1>
        <a:dk2>
          <a:srgbClr val="710F0F"/>
        </a:dk2>
        <a:lt2>
          <a:srgbClr val="FFFFFF"/>
        </a:lt2>
        <a:accent1>
          <a:srgbClr val="FF9900"/>
        </a:accent1>
        <a:accent2>
          <a:srgbClr val="FF3300"/>
        </a:accent2>
        <a:accent3>
          <a:srgbClr val="BBAAAA"/>
        </a:accent3>
        <a:accent4>
          <a:srgbClr val="DADADA"/>
        </a:accent4>
        <a:accent5>
          <a:srgbClr val="FFCAAA"/>
        </a:accent5>
        <a:accent6>
          <a:srgbClr val="E72D00"/>
        </a:accent6>
        <a:hlink>
          <a:srgbClr val="666699"/>
        </a:hlink>
        <a:folHlink>
          <a:srgbClr val="996633"/>
        </a:folHlink>
      </a:clrScheme>
      <a:clrMap bg1="dk2" tx1="lt1" bg2="dk1" tx2="lt2" accent1="accent1" accent2="accent2" accent3="accent3" accent4="accent4" accent5="accent5" accent6="accent6" hlink="hlink" folHlink="folHlink"/>
    </a:extraClrScheme>
    <a:extraClrScheme>
      <a:clrScheme name="Office Theme 7">
        <a:dk1>
          <a:srgbClr val="336666"/>
        </a:dk1>
        <a:lt1>
          <a:srgbClr val="FFFFFF"/>
        </a:lt1>
        <a:dk2>
          <a:srgbClr val="000000"/>
        </a:dk2>
        <a:lt2>
          <a:srgbClr val="666699"/>
        </a:lt2>
        <a:accent1>
          <a:srgbClr val="99CCCC"/>
        </a:accent1>
        <a:accent2>
          <a:srgbClr val="CCCCCC"/>
        </a:accent2>
        <a:accent3>
          <a:srgbClr val="FFFFFF"/>
        </a:accent3>
        <a:accent4>
          <a:srgbClr val="2A5656"/>
        </a:accent4>
        <a:accent5>
          <a:srgbClr val="CAE2E2"/>
        </a:accent5>
        <a:accent6>
          <a:srgbClr val="B9B9B9"/>
        </a:accent6>
        <a:hlink>
          <a:srgbClr val="006666"/>
        </a:hlink>
        <a:folHlink>
          <a:srgbClr val="B2B2B2"/>
        </a:folHlink>
      </a:clrScheme>
      <a:clrMap bg1="lt1" tx1="dk1" bg2="lt2" tx2="dk2" accent1="accent1" accent2="accent2" accent3="accent3" accent4="accent4" accent5="accent5" accent6="accent6" hlink="hlink" folHlink="folHlink"/>
    </a:extraClrScheme>
    <a:extraClrScheme>
      <a:clrScheme name="Office Theme 8">
        <a:dk1>
          <a:srgbClr val="000000"/>
        </a:dk1>
        <a:lt1>
          <a:srgbClr val="FFFFFF"/>
        </a:lt1>
        <a:dk2>
          <a:srgbClr val="000000"/>
        </a:dk2>
        <a:lt2>
          <a:srgbClr val="666699"/>
        </a:lt2>
        <a:accent1>
          <a:srgbClr val="FF9900"/>
        </a:accent1>
        <a:accent2>
          <a:srgbClr val="FF0000"/>
        </a:accent2>
        <a:accent3>
          <a:srgbClr val="FFFFFF"/>
        </a:accent3>
        <a:accent4>
          <a:srgbClr val="000000"/>
        </a:accent4>
        <a:accent5>
          <a:srgbClr val="FFCAAA"/>
        </a:accent5>
        <a:accent6>
          <a:srgbClr val="E70000"/>
        </a:accent6>
        <a:hlink>
          <a:srgbClr val="336699"/>
        </a:hlink>
        <a:folHlink>
          <a:srgbClr val="808080"/>
        </a:folHlink>
      </a:clrScheme>
      <a:clrMap bg1="lt1" tx1="dk1" bg2="lt2" tx2="dk2" accent1="accent1" accent2="accent2" accent3="accent3" accent4="accent4" accent5="accent5" accent6="accent6" hlink="hlink" folHlink="folHlink"/>
    </a:extraClrScheme>
    <a:extraClrScheme>
      <a:clrScheme name="Office Theme 9">
        <a:dk1>
          <a:srgbClr val="000000"/>
        </a:dk1>
        <a:lt1>
          <a:srgbClr val="FFFFFF"/>
        </a:lt1>
        <a:dk2>
          <a:srgbClr val="000000"/>
        </a:dk2>
        <a:lt2>
          <a:srgbClr val="666699"/>
        </a:lt2>
        <a:accent1>
          <a:srgbClr val="CC3300"/>
        </a:accent1>
        <a:accent2>
          <a:srgbClr val="CC9900"/>
        </a:accent2>
        <a:accent3>
          <a:srgbClr val="FFFFFF"/>
        </a:accent3>
        <a:accent4>
          <a:srgbClr val="000000"/>
        </a:accent4>
        <a:accent5>
          <a:srgbClr val="E2ADAA"/>
        </a:accent5>
        <a:accent6>
          <a:srgbClr val="B98A00"/>
        </a:accent6>
        <a:hlink>
          <a:srgbClr val="CC6600"/>
        </a:hlink>
        <a:folHlink>
          <a:srgbClr val="808080"/>
        </a:folHlink>
      </a:clrScheme>
      <a:clrMap bg1="lt1" tx1="dk1" bg2="lt2" tx2="dk2" accent1="accent1" accent2="accent2" accent3="accent3" accent4="accent4" accent5="accent5" accent6="accent6" hlink="hlink" folHlink="folHlink"/>
    </a:extraClrScheme>
    <a:extraClrScheme>
      <a:clrScheme name="Office Theme 10">
        <a:dk1>
          <a:srgbClr val="000000"/>
        </a:dk1>
        <a:lt1>
          <a:srgbClr val="FFFFFF"/>
        </a:lt1>
        <a:dk2>
          <a:srgbClr val="000000"/>
        </a:dk2>
        <a:lt2>
          <a:srgbClr val="666699"/>
        </a:lt2>
        <a:accent1>
          <a:srgbClr val="666699"/>
        </a:accent1>
        <a:accent2>
          <a:srgbClr val="9999FF"/>
        </a:accent2>
        <a:accent3>
          <a:srgbClr val="FFFFFF"/>
        </a:accent3>
        <a:accent4>
          <a:srgbClr val="000000"/>
        </a:accent4>
        <a:accent5>
          <a:srgbClr val="B8B8CA"/>
        </a:accent5>
        <a:accent6>
          <a:srgbClr val="8A8AE7"/>
        </a:accent6>
        <a:hlink>
          <a:srgbClr val="3366FF"/>
        </a:hlink>
        <a:folHlink>
          <a:srgbClr val="808080"/>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AACtheme" id="{B917E4BD-0D13-4AB8-9D4E-C79ADD464C7C}" vid="{E783F7A8-3ADD-464E-83B5-FE499E7769F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Q52"/>
  <sheetViews>
    <sheetView showGridLines="0" showRowColHeaders="0" tabSelected="1" zoomScale="115" zoomScaleNormal="115" workbookViewId="0">
      <selection activeCell="D9" sqref="D9"/>
    </sheetView>
  </sheetViews>
  <sheetFormatPr defaultColWidth="0" defaultRowHeight="16.5" customHeight="1" zeroHeight="1" x14ac:dyDescent="0.3"/>
  <cols>
    <col min="1" max="1" width="9.09765625" customWidth="1"/>
    <col min="2" max="2" width="59.296875" style="99" customWidth="1"/>
    <col min="3" max="3" width="36.296875" style="99" customWidth="1"/>
    <col min="4" max="4" width="33.69921875" style="99" customWidth="1"/>
    <col min="5" max="5" width="11.09765625" style="99" customWidth="1"/>
    <col min="6" max="16384" width="9.09765625" hidden="1"/>
  </cols>
  <sheetData>
    <row r="1" spans="1:17" x14ac:dyDescent="0.3">
      <c r="B1" s="98"/>
      <c r="C1" s="98"/>
    </row>
    <row r="2" spans="1:17" x14ac:dyDescent="0.3">
      <c r="B2" s="98"/>
      <c r="C2" s="98"/>
    </row>
    <row r="3" spans="1:17" x14ac:dyDescent="0.3">
      <c r="B3" s="98"/>
      <c r="C3" s="98"/>
    </row>
    <row r="4" spans="1:17" x14ac:dyDescent="0.3">
      <c r="B4" s="98"/>
      <c r="C4" s="98"/>
    </row>
    <row r="5" spans="1:17" x14ac:dyDescent="0.3">
      <c r="B5" s="98"/>
      <c r="C5" s="98"/>
    </row>
    <row r="6" spans="1:17" ht="93.75" customHeight="1" thickBot="1" x14ac:dyDescent="0.35">
      <c r="A6" s="1"/>
      <c r="B6" s="182" t="s">
        <v>350</v>
      </c>
      <c r="C6" s="182"/>
      <c r="D6" s="182"/>
      <c r="E6" s="1"/>
    </row>
    <row r="7" spans="1:17" ht="17.25" thickTop="1" x14ac:dyDescent="0.3">
      <c r="B7" s="98"/>
      <c r="C7" s="98"/>
    </row>
    <row r="8" spans="1:17" ht="17.25" thickBot="1" x14ac:dyDescent="0.35">
      <c r="B8" s="99" t="s">
        <v>425</v>
      </c>
      <c r="C8" s="86">
        <v>2017</v>
      </c>
      <c r="D8" s="101" t="str">
        <f>INDEX(Mapping!$B:$B,MATCH(baseline,Mapping!$C:$C,0))</f>
        <v>2017-18</v>
      </c>
    </row>
    <row r="9" spans="1:17" ht="21.75" thickTop="1" thickBot="1" x14ac:dyDescent="0.35">
      <c r="B9" s="100" t="s">
        <v>351</v>
      </c>
      <c r="C9" s="96" t="s">
        <v>111</v>
      </c>
      <c r="D9" s="101" t="str">
        <f>INDEX(Mapping!$X:$X,MATCH($C9,Mapping!$W:$W,0))</f>
        <v>Alpine</v>
      </c>
    </row>
    <row r="10" spans="1:17" ht="17.25" thickTop="1" x14ac:dyDescent="0.3"/>
    <row r="11" spans="1:17" ht="60" customHeight="1" x14ac:dyDescent="0.3">
      <c r="B11" s="185" t="str">
        <f>"This MCH workforce report presents projections of Maternal and Child Health (MCH) workforce supply and demand for "&amp;council2&amp;" and locally from "&amp;INDEX(Mapping!$B:$B,MATCH(baseline+1,Mapping!$C:$C,0))&amp;" to 2031-32. Using these projections, this report provides a series of summary charts on model inputs and model outputs. All outputs are reported in terms of full-time equivalent staff (FTEs)."</f>
        <v>This MCH workforce report presents projections of Maternal and Child Health (MCH) workforce supply and demand for Alpine and locally from 2018-19 to 2031-32. Using these projections, this report provides a series of summary charts on model inputs and model outputs. All outputs are reported in terms of full-time equivalent staff (FTEs).</v>
      </c>
      <c r="C11" s="185"/>
      <c r="D11" s="185"/>
      <c r="E11" s="102"/>
      <c r="F11" s="31"/>
      <c r="G11" s="31"/>
      <c r="H11" s="31"/>
      <c r="I11" s="31"/>
      <c r="J11" s="31"/>
      <c r="K11" s="31"/>
      <c r="L11" s="31"/>
      <c r="M11" s="31"/>
      <c r="N11" s="31"/>
      <c r="O11" s="31"/>
      <c r="P11" s="31"/>
      <c r="Q11" s="31"/>
    </row>
    <row r="12" spans="1:17" ht="78.75" customHeight="1" x14ac:dyDescent="0.3">
      <c r="B12" s="185" t="s">
        <v>299</v>
      </c>
      <c r="C12" s="185"/>
      <c r="D12" s="185"/>
      <c r="E12" s="103"/>
      <c r="F12" s="97"/>
      <c r="G12" s="97"/>
      <c r="H12" s="97"/>
      <c r="I12" s="97"/>
      <c r="J12" s="97"/>
      <c r="K12" s="97"/>
      <c r="L12" s="184"/>
      <c r="M12" s="184"/>
      <c r="N12" s="184"/>
      <c r="O12" s="184"/>
      <c r="P12" s="184"/>
      <c r="Q12" s="184"/>
    </row>
    <row r="13" spans="1:17" ht="14" x14ac:dyDescent="0.3">
      <c r="B13"/>
      <c r="C13"/>
      <c r="D13"/>
      <c r="E13"/>
    </row>
    <row r="14" spans="1:17" ht="14" x14ac:dyDescent="0.3">
      <c r="B14"/>
      <c r="C14"/>
      <c r="D14"/>
      <c r="E14"/>
    </row>
    <row r="15" spans="1:17" ht="14" x14ac:dyDescent="0.3">
      <c r="B15"/>
      <c r="C15"/>
      <c r="D15"/>
      <c r="E15"/>
    </row>
    <row r="16" spans="1:17" ht="14" x14ac:dyDescent="0.3">
      <c r="B16"/>
      <c r="C16"/>
      <c r="D16"/>
      <c r="E16"/>
    </row>
    <row r="17" spans="2:3" ht="14" x14ac:dyDescent="0.3">
      <c r="B17" s="104"/>
      <c r="C17" s="98"/>
    </row>
    <row r="18" spans="2:3" ht="14" x14ac:dyDescent="0.3">
      <c r="B18" s="104"/>
      <c r="C18" s="98"/>
    </row>
    <row r="19" spans="2:3" ht="14" x14ac:dyDescent="0.3">
      <c r="B19" s="104"/>
      <c r="C19" s="98"/>
    </row>
    <row r="20" spans="2:3" ht="14" x14ac:dyDescent="0.3">
      <c r="B20" s="104"/>
      <c r="C20" s="98"/>
    </row>
    <row r="21" spans="2:3" ht="14" x14ac:dyDescent="0.3"/>
    <row r="22" spans="2:3" ht="14" x14ac:dyDescent="0.3">
      <c r="B22" s="105"/>
    </row>
    <row r="23" spans="2:3" ht="14" x14ac:dyDescent="0.3">
      <c r="B23" s="104"/>
      <c r="C23" s="98"/>
    </row>
    <row r="24" spans="2:3" ht="14" x14ac:dyDescent="0.3">
      <c r="C24" s="98"/>
    </row>
    <row r="25" spans="2:3" ht="14" x14ac:dyDescent="0.3">
      <c r="B25" s="105"/>
      <c r="C25" s="106"/>
    </row>
    <row r="26" spans="2:3" ht="14" x14ac:dyDescent="0.3">
      <c r="C26" s="98" t="s">
        <v>191</v>
      </c>
    </row>
    <row r="27" spans="2:3" ht="14" x14ac:dyDescent="0.3">
      <c r="C27" s="98" t="s">
        <v>191</v>
      </c>
    </row>
    <row r="28" spans="2:3" ht="14" x14ac:dyDescent="0.3">
      <c r="C28" s="98" t="s">
        <v>191</v>
      </c>
    </row>
    <row r="29" spans="2:3" ht="14" x14ac:dyDescent="0.3">
      <c r="C29" s="98" t="s">
        <v>191</v>
      </c>
    </row>
    <row r="30" spans="2:3" ht="14" x14ac:dyDescent="0.3">
      <c r="C30" s="98" t="s">
        <v>191</v>
      </c>
    </row>
    <row r="31" spans="2:3" ht="14" x14ac:dyDescent="0.3">
      <c r="C31" s="98" t="s">
        <v>191</v>
      </c>
    </row>
    <row r="32" spans="2:3" ht="16.5" customHeight="1" x14ac:dyDescent="0.3"/>
    <row r="33" spans="2:5" ht="16.5" customHeight="1" x14ac:dyDescent="0.3"/>
    <row r="34" spans="2:5" ht="44.5" x14ac:dyDescent="0.85">
      <c r="B34" s="183" t="s">
        <v>352</v>
      </c>
      <c r="C34" s="183"/>
      <c r="D34" s="183"/>
      <c r="E34" s="107"/>
    </row>
    <row r="35" spans="2:5" ht="16.5" customHeight="1" x14ac:dyDescent="0.3"/>
    <row r="36" spans="2:5" ht="16.5" customHeight="1" x14ac:dyDescent="0.3">
      <c r="B36" s="99" t="s">
        <v>353</v>
      </c>
      <c r="D36" s="108" t="s">
        <v>330</v>
      </c>
      <c r="E36" s="108"/>
    </row>
    <row r="37" spans="2:5" ht="16.5" customHeight="1" x14ac:dyDescent="0.3">
      <c r="B37" s="6" t="s">
        <v>371</v>
      </c>
      <c r="D37" s="108"/>
      <c r="E37" s="108"/>
    </row>
    <row r="38" spans="2:5" ht="16.5" hidden="1" customHeight="1" x14ac:dyDescent="0.3"/>
    <row r="39" spans="2:5" ht="16.5" hidden="1" customHeight="1" x14ac:dyDescent="0.3"/>
    <row r="40" spans="2:5" ht="16.5" hidden="1" customHeight="1" x14ac:dyDescent="0.3"/>
    <row r="41" spans="2:5" ht="16.5" hidden="1" customHeight="1" x14ac:dyDescent="0.3"/>
    <row r="42" spans="2:5" ht="16.5" hidden="1" customHeight="1" x14ac:dyDescent="0.3"/>
    <row r="43" spans="2:5" ht="16.5" hidden="1" customHeight="1" x14ac:dyDescent="0.3"/>
    <row r="44" spans="2:5" ht="16.5" hidden="1" customHeight="1" x14ac:dyDescent="0.3"/>
    <row r="45" spans="2:5" ht="16.5" hidden="1" customHeight="1" x14ac:dyDescent="0.3"/>
    <row r="46" spans="2:5" ht="16.5" hidden="1" customHeight="1" x14ac:dyDescent="0.3"/>
    <row r="47" spans="2:5" ht="16.5" hidden="1" customHeight="1" x14ac:dyDescent="0.3"/>
    <row r="48" spans="2:5" ht="16.5" hidden="1" customHeight="1" x14ac:dyDescent="0.3"/>
    <row r="49" ht="16.5" hidden="1" customHeight="1" x14ac:dyDescent="0.3"/>
    <row r="50" ht="16.5" hidden="1" customHeight="1" x14ac:dyDescent="0.3"/>
    <row r="51" ht="16.5" hidden="1" customHeight="1" x14ac:dyDescent="0.3"/>
    <row r="52" ht="16.5" hidden="1" customHeight="1" x14ac:dyDescent="0.3"/>
  </sheetData>
  <sheetProtection algorithmName="SHA-512" hashValue="vbGw8x7Q00SXOZjnI15ZJY6lLeFq0pCJ/wwMWdRdfC5XhBy9c1WOqAqNLVzPEscGbxAjECpV1T75yY9X2VVy9Q==" saltValue="fU3q4vcOTqLmSBXyo52Gcg==" spinCount="100000" sheet="1" objects="1" scenarios="1"/>
  <protectedRanges>
    <protectedRange sqref="C8:C9 B34" name="Settings"/>
  </protectedRanges>
  <mergeCells count="5">
    <mergeCell ref="B6:D6"/>
    <mergeCell ref="B34:D34"/>
    <mergeCell ref="L12:Q12"/>
    <mergeCell ref="B11:D11"/>
    <mergeCell ref="B12:D12"/>
  </mergeCells>
  <hyperlinks>
    <hyperlink ref="B34:D34" location="'COUNCIL REPORT'!A1" display="GO TO WORKFORCE REPORT"/>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Mapping!$W$2:$W$317</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P569"/>
  <sheetViews>
    <sheetView showGridLines="0" zoomScaleNormal="100" workbookViewId="0">
      <selection activeCell="A106" sqref="A106:K106"/>
    </sheetView>
  </sheetViews>
  <sheetFormatPr defaultColWidth="0" defaultRowHeight="14" zeroHeight="1" x14ac:dyDescent="0.3"/>
  <cols>
    <col min="1" max="1" width="9.09765625" style="2" customWidth="1"/>
    <col min="2" max="2" width="21.3984375" style="2" bestFit="1" customWidth="1"/>
    <col min="3" max="3" width="16.69921875" style="2" bestFit="1" customWidth="1"/>
    <col min="4" max="4" width="16.69921875" style="2" hidden="1" customWidth="1"/>
    <col min="5" max="5" width="29.296875" style="2" hidden="1" customWidth="1"/>
    <col min="6" max="6" width="10" style="2" hidden="1" customWidth="1"/>
    <col min="7" max="9" width="9.296875" style="2" bestFit="1" customWidth="1"/>
    <col min="10" max="14" width="9.09765625" style="2" customWidth="1"/>
    <col min="15" max="16" width="9.09765625" style="130" customWidth="1"/>
    <col min="17" max="17" width="16.3984375" style="130" bestFit="1" customWidth="1"/>
    <col min="18" max="18" width="8.296875" style="130" customWidth="1"/>
    <col min="19" max="20" width="9.09765625" style="130" customWidth="1"/>
    <col min="21" max="26" width="9.09765625" style="2" customWidth="1"/>
    <col min="27" max="27" width="9.09765625" customWidth="1"/>
    <col min="28" max="28" width="18.59765625" bestFit="1" customWidth="1"/>
    <col min="29" max="43" width="9.09765625" customWidth="1"/>
    <col min="44" max="60" width="9.09765625" style="2" customWidth="1"/>
    <col min="61" max="62" width="9.09765625" customWidth="1"/>
    <col min="63" max="63" width="16" customWidth="1"/>
    <col min="64" max="83" width="15.3984375" customWidth="1"/>
    <col min="84" max="93" width="15.3984375" style="2" customWidth="1"/>
    <col min="94" max="94" width="9.09765625" style="2" customWidth="1"/>
    <col min="95" max="16384" width="9.09765625" style="2" hidden="1"/>
  </cols>
  <sheetData>
    <row r="1" spans="1:93" s="1" customFormat="1" ht="20.25" thickBot="1" x14ac:dyDescent="0.35">
      <c r="A1" s="1" t="s">
        <v>396</v>
      </c>
      <c r="O1" s="129" t="s">
        <v>397</v>
      </c>
      <c r="P1" s="129"/>
      <c r="Q1" s="129"/>
      <c r="R1" s="129"/>
      <c r="S1" s="129"/>
      <c r="T1" s="129"/>
      <c r="AA1" s="1" t="s">
        <v>332</v>
      </c>
      <c r="BI1" s="1" t="s">
        <v>110</v>
      </c>
    </row>
    <row r="2" spans="1:93" ht="17.25" thickTop="1" x14ac:dyDescent="0.3">
      <c r="A2" s="3" t="s">
        <v>398</v>
      </c>
      <c r="N2"/>
      <c r="O2" s="6" t="s">
        <v>399</v>
      </c>
      <c r="AA2" s="6" t="s">
        <v>333</v>
      </c>
      <c r="AB2" s="2"/>
      <c r="AC2" s="2"/>
      <c r="AD2" s="2"/>
      <c r="AE2" s="2"/>
      <c r="AF2" s="2"/>
      <c r="AG2" s="2"/>
      <c r="AH2" s="2"/>
      <c r="AI2" s="2"/>
      <c r="AJ2" s="2"/>
      <c r="AK2" s="2"/>
      <c r="AL2" s="2"/>
      <c r="AM2" s="2"/>
      <c r="AN2" s="2"/>
      <c r="AO2" s="2"/>
      <c r="AP2" s="2"/>
      <c r="AQ2" s="2"/>
      <c r="BI2" s="6" t="s">
        <v>334</v>
      </c>
    </row>
    <row r="3" spans="1:93" ht="16.5" x14ac:dyDescent="0.3">
      <c r="A3" s="3"/>
      <c r="N3"/>
      <c r="O3" s="6"/>
      <c r="AA3" s="6"/>
      <c r="AB3" s="2"/>
      <c r="AC3" s="2"/>
      <c r="AD3" s="2"/>
      <c r="AE3" s="2"/>
      <c r="AF3" s="2"/>
      <c r="AG3" s="2"/>
      <c r="AH3" s="2"/>
      <c r="AI3" s="2"/>
      <c r="AJ3" s="2"/>
      <c r="AK3" s="2"/>
      <c r="AL3" s="2"/>
      <c r="AM3" s="2"/>
      <c r="AN3" s="2"/>
      <c r="AO3" s="2"/>
      <c r="AP3" s="2"/>
      <c r="AQ3" s="2"/>
      <c r="BI3" s="6"/>
    </row>
    <row r="4" spans="1:93" ht="16.5" x14ac:dyDescent="0.3">
      <c r="A4" s="3"/>
      <c r="N4"/>
      <c r="O4" s="6"/>
      <c r="AA4" s="6"/>
      <c r="AB4" s="2"/>
      <c r="AC4" s="2"/>
      <c r="AD4" s="2"/>
      <c r="AE4" s="2"/>
      <c r="AF4" s="2"/>
      <c r="AG4" s="2"/>
      <c r="AH4" s="2"/>
      <c r="AI4" s="2"/>
      <c r="AJ4" s="2"/>
      <c r="AK4" s="2"/>
      <c r="AL4" s="2"/>
      <c r="AM4" s="2"/>
      <c r="AN4" s="2"/>
      <c r="AO4" s="2"/>
      <c r="AP4" s="2"/>
      <c r="AQ4" s="2"/>
      <c r="BI4" s="6"/>
    </row>
    <row r="5" spans="1:93" ht="16.5" x14ac:dyDescent="0.3">
      <c r="A5" s="3"/>
      <c r="N5"/>
      <c r="O5" s="6"/>
      <c r="AA5" s="6"/>
      <c r="AB5" s="2"/>
      <c r="AC5" s="2"/>
      <c r="AD5" s="2"/>
      <c r="AE5" s="2"/>
      <c r="AF5" s="2"/>
      <c r="AG5" s="2"/>
      <c r="AH5" s="2"/>
      <c r="AI5" s="2"/>
      <c r="AJ5" s="2"/>
      <c r="AK5" s="2"/>
      <c r="AL5" s="2"/>
      <c r="AM5" s="2"/>
      <c r="AN5" s="2"/>
      <c r="AO5" s="2"/>
      <c r="AP5" s="2"/>
      <c r="AQ5" s="2"/>
      <c r="BI5" s="6"/>
    </row>
    <row r="6" spans="1:93" ht="16.5" x14ac:dyDescent="0.3">
      <c r="A6" s="3"/>
      <c r="N6"/>
      <c r="O6" s="6"/>
      <c r="AA6" s="6"/>
      <c r="AB6" s="2"/>
      <c r="AC6" s="2"/>
      <c r="AD6" s="2"/>
      <c r="AE6" s="2"/>
      <c r="AF6" s="2"/>
      <c r="AG6" s="2"/>
      <c r="AH6" s="2"/>
      <c r="AI6" s="2"/>
      <c r="AJ6" s="2"/>
      <c r="AK6" s="2"/>
      <c r="AL6" s="2"/>
      <c r="AM6" s="2"/>
      <c r="AN6" s="2"/>
      <c r="AO6" s="2"/>
      <c r="AP6" s="2"/>
      <c r="AQ6" s="2"/>
      <c r="BI6" s="6"/>
    </row>
    <row r="7" spans="1:93" ht="16.5" x14ac:dyDescent="0.3">
      <c r="A7" s="3"/>
      <c r="N7"/>
      <c r="O7" s="6"/>
      <c r="AA7" s="6"/>
      <c r="AB7" s="2"/>
      <c r="AC7" s="2"/>
      <c r="AD7" s="2"/>
      <c r="AE7" s="2"/>
      <c r="AF7" s="2"/>
      <c r="AG7" s="2"/>
      <c r="AH7" s="2"/>
      <c r="AI7" s="2"/>
      <c r="AJ7" s="2"/>
      <c r="AK7" s="2"/>
      <c r="AL7" s="2"/>
      <c r="AM7" s="2"/>
      <c r="AN7" s="2"/>
      <c r="AO7" s="2"/>
      <c r="AP7" s="2"/>
      <c r="AQ7" s="2"/>
      <c r="BI7" s="6"/>
    </row>
    <row r="8" spans="1:93" ht="16.5" x14ac:dyDescent="0.3">
      <c r="A8" s="3"/>
      <c r="N8"/>
      <c r="O8" s="6"/>
      <c r="AA8" s="6"/>
      <c r="AB8" s="2"/>
      <c r="AC8" s="2"/>
      <c r="AD8" s="2"/>
      <c r="AE8" s="2"/>
      <c r="AF8" s="2"/>
      <c r="AG8" s="2"/>
      <c r="AH8" s="2"/>
      <c r="AI8" s="2"/>
      <c r="AJ8" s="2"/>
      <c r="AK8" s="2"/>
      <c r="AL8" s="2"/>
      <c r="AM8" s="2"/>
      <c r="AN8" s="2"/>
      <c r="AO8" s="2"/>
      <c r="AP8" s="2"/>
      <c r="AQ8" s="2"/>
      <c r="BI8" s="6"/>
    </row>
    <row r="9" spans="1:93" ht="16.5" x14ac:dyDescent="0.3">
      <c r="A9" s="3"/>
      <c r="N9"/>
      <c r="O9" s="6"/>
      <c r="AA9" s="6"/>
      <c r="AB9" s="2"/>
      <c r="AC9" s="2"/>
      <c r="AD9" s="2"/>
      <c r="AE9" s="2"/>
      <c r="AF9" s="2"/>
      <c r="AG9" s="2"/>
      <c r="AH9" s="2"/>
      <c r="AI9" s="2"/>
      <c r="AJ9" s="2"/>
      <c r="AK9" s="2"/>
      <c r="AL9" s="2"/>
      <c r="AM9" s="2"/>
      <c r="AN9" s="2"/>
      <c r="AO9" s="2"/>
      <c r="AP9" s="2"/>
      <c r="AQ9" s="2"/>
      <c r="BI9" s="6"/>
    </row>
    <row r="10" spans="1:93" ht="16.5" x14ac:dyDescent="0.3">
      <c r="A10" s="3"/>
      <c r="N10"/>
      <c r="O10" s="6"/>
      <c r="AA10" s="6"/>
      <c r="AB10" s="2"/>
      <c r="AC10" s="2"/>
      <c r="AD10" s="2"/>
      <c r="AE10" s="2"/>
      <c r="AF10" s="2"/>
      <c r="AG10" s="2"/>
      <c r="AH10" s="2"/>
      <c r="AI10" s="2"/>
      <c r="AJ10" s="2"/>
      <c r="AK10" s="2"/>
      <c r="AL10" s="2"/>
      <c r="AM10" s="2"/>
      <c r="AN10" s="2"/>
      <c r="AO10" s="2"/>
      <c r="AP10" s="2"/>
      <c r="AQ10" s="2"/>
      <c r="BI10" s="6"/>
    </row>
    <row r="11" spans="1:93" ht="20.25" x14ac:dyDescent="0.3">
      <c r="N11"/>
      <c r="O11" s="6"/>
      <c r="AA11" s="77"/>
      <c r="AB11" s="2"/>
      <c r="AC11" s="3" t="str">
        <f>AC12&amp;AC14</f>
        <v>2015Under 45 Years</v>
      </c>
      <c r="AD11" s="3" t="str">
        <f t="shared" ref="AD11:BF11" si="0">AD12&amp;AD14</f>
        <v>201545-50 Years</v>
      </c>
      <c r="AE11" s="3" t="str">
        <f t="shared" si="0"/>
        <v>201551-55 Years</v>
      </c>
      <c r="AF11" s="3" t="str">
        <f t="shared" si="0"/>
        <v>201556-60 Years</v>
      </c>
      <c r="AG11" s="3" t="str">
        <f t="shared" si="0"/>
        <v>2015Over 60 Years</v>
      </c>
      <c r="AH11" s="3" t="str">
        <f t="shared" si="0"/>
        <v>2016Under 45 Years</v>
      </c>
      <c r="AI11" s="3" t="str">
        <f t="shared" si="0"/>
        <v>201645-50 Years</v>
      </c>
      <c r="AJ11" s="3" t="str">
        <f t="shared" si="0"/>
        <v>201651-55 Years</v>
      </c>
      <c r="AK11" s="3" t="str">
        <f t="shared" si="0"/>
        <v>201656-60 Years</v>
      </c>
      <c r="AL11" s="3" t="str">
        <f t="shared" si="0"/>
        <v>2016Over 60 Years</v>
      </c>
      <c r="AM11" s="3" t="str">
        <f t="shared" si="0"/>
        <v>2017Under 45 Years</v>
      </c>
      <c r="AN11" s="3" t="str">
        <f t="shared" si="0"/>
        <v>201745-50 Years</v>
      </c>
      <c r="AO11" s="3" t="str">
        <f t="shared" si="0"/>
        <v>201751-55 Years</v>
      </c>
      <c r="AP11" s="3" t="str">
        <f t="shared" si="0"/>
        <v>201756-60 Years</v>
      </c>
      <c r="AQ11" s="3" t="str">
        <f t="shared" si="0"/>
        <v>2017Over 60 Years</v>
      </c>
      <c r="AR11" s="3" t="str">
        <f t="shared" si="0"/>
        <v>2018Under 45 Years</v>
      </c>
      <c r="AS11" s="3" t="str">
        <f t="shared" si="0"/>
        <v>201845-50 Years</v>
      </c>
      <c r="AT11" s="3" t="str">
        <f t="shared" si="0"/>
        <v>201851-55 Years</v>
      </c>
      <c r="AU11" s="3" t="str">
        <f t="shared" si="0"/>
        <v>201856-60 Years</v>
      </c>
      <c r="AV11" s="3" t="str">
        <f t="shared" si="0"/>
        <v>2018Over 60 Years</v>
      </c>
      <c r="AW11" s="3" t="str">
        <f t="shared" si="0"/>
        <v>2019Under 45 Years</v>
      </c>
      <c r="AX11" s="3" t="str">
        <f t="shared" si="0"/>
        <v>201945-50 Years</v>
      </c>
      <c r="AY11" s="3" t="str">
        <f t="shared" si="0"/>
        <v>201951-55 Years</v>
      </c>
      <c r="AZ11" s="3" t="str">
        <f t="shared" si="0"/>
        <v>201956-60 Years</v>
      </c>
      <c r="BA11" s="3" t="str">
        <f t="shared" si="0"/>
        <v>2019Over 60 Years</v>
      </c>
      <c r="BB11" s="3" t="str">
        <f t="shared" si="0"/>
        <v>2020Under 45 Years</v>
      </c>
      <c r="BC11" s="3" t="str">
        <f t="shared" si="0"/>
        <v>202045-50 Years</v>
      </c>
      <c r="BD11" s="3" t="str">
        <f t="shared" si="0"/>
        <v>202051-55 Years</v>
      </c>
      <c r="BE11" s="3" t="str">
        <f t="shared" si="0"/>
        <v>202056-60 Years</v>
      </c>
      <c r="BF11" s="3" t="str">
        <f t="shared" si="0"/>
        <v>2020Over 60 Years</v>
      </c>
      <c r="BI11" s="3"/>
    </row>
    <row r="12" spans="1:93" ht="16.5" x14ac:dyDescent="0.3">
      <c r="G12" s="2">
        <v>2015</v>
      </c>
      <c r="H12" s="2">
        <f>G12+1</f>
        <v>2016</v>
      </c>
      <c r="I12" s="2">
        <f t="shared" ref="I12:M12" si="1">H12+1</f>
        <v>2017</v>
      </c>
      <c r="J12" s="2">
        <f t="shared" si="1"/>
        <v>2018</v>
      </c>
      <c r="K12" s="2">
        <f t="shared" si="1"/>
        <v>2019</v>
      </c>
      <c r="L12" s="2">
        <f t="shared" si="1"/>
        <v>2020</v>
      </c>
      <c r="M12" s="2">
        <f t="shared" si="1"/>
        <v>2021</v>
      </c>
      <c r="N12"/>
      <c r="O12" s="6"/>
      <c r="R12" s="2">
        <v>2015</v>
      </c>
      <c r="S12" s="2">
        <f>R12+1</f>
        <v>2016</v>
      </c>
      <c r="T12" s="2">
        <f t="shared" ref="T12:X12" si="2">S12+1</f>
        <v>2017</v>
      </c>
      <c r="U12" s="2">
        <f t="shared" si="2"/>
        <v>2018</v>
      </c>
      <c r="V12" s="2">
        <f t="shared" si="2"/>
        <v>2019</v>
      </c>
      <c r="W12" s="2">
        <f t="shared" si="2"/>
        <v>2020</v>
      </c>
      <c r="X12" s="2">
        <f t="shared" si="2"/>
        <v>2021</v>
      </c>
      <c r="AA12" s="2"/>
      <c r="AB12" s="2"/>
      <c r="AC12" s="3">
        <f>INDEX(Mapping!$C:$C,MATCH(AC13,Mapping!$B:$B,0))</f>
        <v>2015</v>
      </c>
      <c r="AD12" s="3">
        <f>INDEX(Mapping!$C:$C,MATCH(AD13,Mapping!$B:$B,0))</f>
        <v>2015</v>
      </c>
      <c r="AE12" s="3">
        <f>INDEX(Mapping!$C:$C,MATCH(AE13,Mapping!$B:$B,0))</f>
        <v>2015</v>
      </c>
      <c r="AF12" s="3">
        <f>INDEX(Mapping!$C:$C,MATCH(AF13,Mapping!$B:$B,0))</f>
        <v>2015</v>
      </c>
      <c r="AG12" s="3">
        <f>INDEX(Mapping!$C:$C,MATCH(AG13,Mapping!$B:$B,0))</f>
        <v>2015</v>
      </c>
      <c r="AH12" s="3">
        <f>INDEX(Mapping!$C:$C,MATCH(AH13,Mapping!$B:$B,0))</f>
        <v>2016</v>
      </c>
      <c r="AI12" s="3">
        <f>INDEX(Mapping!$C:$C,MATCH(AI13,Mapping!$B:$B,0))</f>
        <v>2016</v>
      </c>
      <c r="AJ12" s="3">
        <f>INDEX(Mapping!$C:$C,MATCH(AJ13,Mapping!$B:$B,0))</f>
        <v>2016</v>
      </c>
      <c r="AK12" s="3">
        <f>INDEX(Mapping!$C:$C,MATCH(AK13,Mapping!$B:$B,0))</f>
        <v>2016</v>
      </c>
      <c r="AL12" s="3">
        <f>INDEX(Mapping!$C:$C,MATCH(AL13,Mapping!$B:$B,0))</f>
        <v>2016</v>
      </c>
      <c r="AM12" s="3">
        <f>INDEX(Mapping!$C:$C,MATCH(AM13,Mapping!$B:$B,0))</f>
        <v>2017</v>
      </c>
      <c r="AN12" s="3">
        <f>INDEX(Mapping!$C:$C,MATCH(AN13,Mapping!$B:$B,0))</f>
        <v>2017</v>
      </c>
      <c r="AO12" s="3">
        <f>INDEX(Mapping!$C:$C,MATCH(AO13,Mapping!$B:$B,0))</f>
        <v>2017</v>
      </c>
      <c r="AP12" s="3">
        <f>INDEX(Mapping!$C:$C,MATCH(AP13,Mapping!$B:$B,0))</f>
        <v>2017</v>
      </c>
      <c r="AQ12" s="3">
        <f>INDEX(Mapping!$C:$C,MATCH(AQ13,Mapping!$B:$B,0))</f>
        <v>2017</v>
      </c>
      <c r="AR12" s="3">
        <f>INDEX(Mapping!$C:$C,MATCH(AR13,Mapping!$B:$B,0))</f>
        <v>2018</v>
      </c>
      <c r="AS12" s="3">
        <f>INDEX(Mapping!$C:$C,MATCH(AS13,Mapping!$B:$B,0))</f>
        <v>2018</v>
      </c>
      <c r="AT12" s="3">
        <f>INDEX(Mapping!$C:$C,MATCH(AT13,Mapping!$B:$B,0))</f>
        <v>2018</v>
      </c>
      <c r="AU12" s="3">
        <f>INDEX(Mapping!$C:$C,MATCH(AU13,Mapping!$B:$B,0))</f>
        <v>2018</v>
      </c>
      <c r="AV12" s="3">
        <f>INDEX(Mapping!$C:$C,MATCH(AV13,Mapping!$B:$B,0))</f>
        <v>2018</v>
      </c>
      <c r="AW12" s="3">
        <f>INDEX(Mapping!$C:$C,MATCH(AW13,Mapping!$B:$B,0))</f>
        <v>2019</v>
      </c>
      <c r="AX12" s="3">
        <f>INDEX(Mapping!$C:$C,MATCH(AX13,Mapping!$B:$B,0))</f>
        <v>2019</v>
      </c>
      <c r="AY12" s="3">
        <f>INDEX(Mapping!$C:$C,MATCH(AY13,Mapping!$B:$B,0))</f>
        <v>2019</v>
      </c>
      <c r="AZ12" s="3">
        <f>INDEX(Mapping!$C:$C,MATCH(AZ13,Mapping!$B:$B,0))</f>
        <v>2019</v>
      </c>
      <c r="BA12" s="3">
        <f>INDEX(Mapping!$C:$C,MATCH(BA13,Mapping!$B:$B,0))</f>
        <v>2019</v>
      </c>
      <c r="BB12" s="3">
        <f>INDEX(Mapping!$C:$C,MATCH(BB13,Mapping!$B:$B,0))</f>
        <v>2020</v>
      </c>
      <c r="BC12" s="3">
        <f>INDEX(Mapping!$C:$C,MATCH(BC13,Mapping!$B:$B,0))</f>
        <v>2020</v>
      </c>
      <c r="BD12" s="3">
        <f>INDEX(Mapping!$C:$C,MATCH(BD13,Mapping!$B:$B,0))</f>
        <v>2020</v>
      </c>
      <c r="BE12" s="3">
        <f>INDEX(Mapping!$C:$C,MATCH(BE13,Mapping!$B:$B,0))</f>
        <v>2020</v>
      </c>
      <c r="BF12" s="3">
        <f>INDEX(Mapping!$C:$C,MATCH(BF13,Mapping!$B:$B,0))</f>
        <v>2020</v>
      </c>
      <c r="BK12" s="7"/>
      <c r="BL12" s="3">
        <f>INDEX(Mapping!$C:$C,MATCH(BL16,Mapping!$B:$B,0))</f>
        <v>2015</v>
      </c>
      <c r="BM12" s="3">
        <f>INDEX(Mapping!$C:$C,MATCH(BM16,Mapping!$B:$B,0))</f>
        <v>2016</v>
      </c>
      <c r="BN12" s="3">
        <f>INDEX(Mapping!$C:$C,MATCH(BN16,Mapping!$B:$B,0))</f>
        <v>2017</v>
      </c>
      <c r="BO12" s="3">
        <f>INDEX(Mapping!$C:$C,MATCH(BO16,Mapping!$B:$B,0))</f>
        <v>2015</v>
      </c>
      <c r="BP12" s="3">
        <f>INDEX(Mapping!$C:$C,MATCH(BP16,Mapping!$B:$B,0))</f>
        <v>2016</v>
      </c>
      <c r="BQ12" s="3">
        <f>INDEX(Mapping!$C:$C,MATCH(BQ16,Mapping!$B:$B,0))</f>
        <v>2017</v>
      </c>
      <c r="BR12" s="3">
        <f>INDEX(Mapping!$C:$C,MATCH(BR16,Mapping!$B:$B,0))</f>
        <v>2015</v>
      </c>
      <c r="BS12" s="3">
        <f>INDEX(Mapping!$C:$C,MATCH(BS16,Mapping!$B:$B,0))</f>
        <v>2016</v>
      </c>
      <c r="BT12" s="3">
        <f>INDEX(Mapping!$C:$C,MATCH(BT16,Mapping!$B:$B,0))</f>
        <v>2017</v>
      </c>
      <c r="BU12" s="3">
        <f>INDEX(Mapping!$C:$C,MATCH(BU16,Mapping!$B:$B,0))</f>
        <v>2015</v>
      </c>
      <c r="BV12" s="3">
        <f>INDEX(Mapping!$C:$C,MATCH(BV16,Mapping!$B:$B,0))</f>
        <v>2016</v>
      </c>
      <c r="BW12" s="3">
        <f>INDEX(Mapping!$C:$C,MATCH(BW16,Mapping!$B:$B,0))</f>
        <v>2017</v>
      </c>
      <c r="BX12" s="3">
        <f>INDEX(Mapping!$C:$C,MATCH(BX16,Mapping!$B:$B,0))</f>
        <v>2015</v>
      </c>
      <c r="BY12" s="3">
        <f>INDEX(Mapping!$C:$C,MATCH(BY16,Mapping!$B:$B,0))</f>
        <v>2016</v>
      </c>
      <c r="BZ12" s="3">
        <f>INDEX(Mapping!$C:$C,MATCH(BZ16,Mapping!$B:$B,0))</f>
        <v>2017</v>
      </c>
      <c r="CA12" s="3">
        <f>INDEX(Mapping!$C:$C,MATCH(CA16,Mapping!$B:$B,0))</f>
        <v>2018</v>
      </c>
      <c r="CB12" s="3">
        <f>INDEX(Mapping!$C:$C,MATCH(CB16,Mapping!$B:$B,0))</f>
        <v>2018</v>
      </c>
      <c r="CC12" s="3">
        <f>INDEX(Mapping!$C:$C,MATCH(CC16,Mapping!$B:$B,0))</f>
        <v>2018</v>
      </c>
      <c r="CD12" s="3">
        <f>INDEX(Mapping!$C:$C,MATCH(CD16,Mapping!$B:$B,0))</f>
        <v>2018</v>
      </c>
      <c r="CE12" s="3">
        <f>INDEX(Mapping!$C:$C,MATCH(CE16,Mapping!$B:$B,0))</f>
        <v>2018</v>
      </c>
      <c r="CF12" s="3">
        <f>INDEX(Mapping!$C:$C,MATCH(CF16,Mapping!$B:$B,0))</f>
        <v>2019</v>
      </c>
      <c r="CG12" s="3">
        <f>INDEX(Mapping!$C:$C,MATCH(CG16,Mapping!$B:$B,0))</f>
        <v>2019</v>
      </c>
      <c r="CH12" s="3">
        <f>INDEX(Mapping!$C:$C,MATCH(CH16,Mapping!$B:$B,0))</f>
        <v>2019</v>
      </c>
      <c r="CI12" s="3">
        <f>INDEX(Mapping!$C:$C,MATCH(CI16,Mapping!$B:$B,0))</f>
        <v>2019</v>
      </c>
      <c r="CJ12" s="3">
        <f>INDEX(Mapping!$C:$C,MATCH(CJ16,Mapping!$B:$B,0))</f>
        <v>2019</v>
      </c>
      <c r="CK12" s="3">
        <f>INDEX(Mapping!$C:$C,MATCH(CK16,Mapping!$B:$B,0))</f>
        <v>2020</v>
      </c>
      <c r="CL12" s="3">
        <f>INDEX(Mapping!$C:$C,MATCH(CL16,Mapping!$B:$B,0))</f>
        <v>2020</v>
      </c>
      <c r="CM12" s="3">
        <f>INDEX(Mapping!$C:$C,MATCH(CM16,Mapping!$B:$B,0))</f>
        <v>2020</v>
      </c>
      <c r="CN12" s="3">
        <f>INDEX(Mapping!$C:$C,MATCH(CN16,Mapping!$B:$B,0))</f>
        <v>2020</v>
      </c>
      <c r="CO12" s="3">
        <f>INDEX(Mapping!$C:$C,MATCH(CO16,Mapping!$B:$B,0))</f>
        <v>2020</v>
      </c>
    </row>
    <row r="13" spans="1:93" ht="16.5" x14ac:dyDescent="0.3">
      <c r="B13" s="12"/>
      <c r="C13" s="12"/>
      <c r="D13" s="12"/>
      <c r="E13" s="12"/>
      <c r="F13" s="12"/>
      <c r="G13" s="12"/>
      <c r="H13" s="12"/>
      <c r="I13" s="12"/>
      <c r="J13" s="12"/>
      <c r="K13" s="12"/>
      <c r="L13" s="12"/>
      <c r="M13" s="12"/>
      <c r="N13"/>
      <c r="R13" s="12"/>
      <c r="S13" s="12"/>
      <c r="T13" s="12"/>
      <c r="U13" s="12"/>
      <c r="V13" s="12"/>
      <c r="W13" s="12"/>
      <c r="X13" s="12"/>
      <c r="AA13" s="2"/>
      <c r="AB13" s="2"/>
      <c r="AC13" s="12" t="s">
        <v>193</v>
      </c>
      <c r="AD13" s="12" t="s">
        <v>193</v>
      </c>
      <c r="AE13" s="12" t="s">
        <v>193</v>
      </c>
      <c r="AF13" s="12" t="s">
        <v>193</v>
      </c>
      <c r="AG13" s="12" t="s">
        <v>193</v>
      </c>
      <c r="AH13" s="12" t="s">
        <v>201</v>
      </c>
      <c r="AI13" s="12" t="s">
        <v>201</v>
      </c>
      <c r="AJ13" s="12" t="s">
        <v>201</v>
      </c>
      <c r="AK13" s="12" t="s">
        <v>201</v>
      </c>
      <c r="AL13" s="12" t="s">
        <v>201</v>
      </c>
      <c r="AM13" s="12" t="s">
        <v>202</v>
      </c>
      <c r="AN13" s="12" t="s">
        <v>202</v>
      </c>
      <c r="AO13" s="12" t="s">
        <v>202</v>
      </c>
      <c r="AP13" s="12" t="s">
        <v>202</v>
      </c>
      <c r="AQ13" s="12" t="s">
        <v>202</v>
      </c>
      <c r="AR13" s="12" t="s">
        <v>335</v>
      </c>
      <c r="AS13" s="12" t="s">
        <v>335</v>
      </c>
      <c r="AT13" s="12" t="s">
        <v>335</v>
      </c>
      <c r="AU13" s="12" t="s">
        <v>335</v>
      </c>
      <c r="AV13" s="12" t="s">
        <v>335</v>
      </c>
      <c r="AW13" s="12" t="s">
        <v>336</v>
      </c>
      <c r="AX13" s="12" t="s">
        <v>336</v>
      </c>
      <c r="AY13" s="12" t="s">
        <v>336</v>
      </c>
      <c r="AZ13" s="12" t="s">
        <v>336</v>
      </c>
      <c r="BA13" s="12" t="s">
        <v>336</v>
      </c>
      <c r="BB13" s="12" t="s">
        <v>337</v>
      </c>
      <c r="BC13" s="12" t="s">
        <v>337</v>
      </c>
      <c r="BD13" s="12" t="s">
        <v>337</v>
      </c>
      <c r="BE13" s="12" t="s">
        <v>337</v>
      </c>
      <c r="BF13" s="12" t="s">
        <v>337</v>
      </c>
      <c r="BI13" s="14"/>
      <c r="BJ13" s="14"/>
      <c r="BK13" s="15"/>
      <c r="BL13" s="3" t="str">
        <f t="shared" ref="BL13:CO13" si="3">BL12&amp;BL14&amp;BL15</f>
        <v>2015UniversalMCH Nurse</v>
      </c>
      <c r="BM13" s="3" t="str">
        <f t="shared" si="3"/>
        <v>2016UniversalMCH Nurse</v>
      </c>
      <c r="BN13" s="3" t="str">
        <f t="shared" si="3"/>
        <v>2017UniversalMCH Nurse</v>
      </c>
      <c r="BO13" s="3" t="str">
        <f t="shared" si="3"/>
        <v>2015MCH CoordinationMCH Nurse</v>
      </c>
      <c r="BP13" s="3" t="str">
        <f t="shared" si="3"/>
        <v>2016MCH CoordinationMCH Nurse</v>
      </c>
      <c r="BQ13" s="3" t="str">
        <f t="shared" si="3"/>
        <v>2017MCH CoordinationMCH Nurse</v>
      </c>
      <c r="BR13" s="3" t="str">
        <f t="shared" si="3"/>
        <v>2015MCH CoordinationNon MCH Nurse</v>
      </c>
      <c r="BS13" s="3" t="str">
        <f t="shared" si="3"/>
        <v>2016MCH CoordinationNon MCH Nurse</v>
      </c>
      <c r="BT13" s="3" t="str">
        <f t="shared" si="3"/>
        <v>2017MCH CoordinationNon MCH Nurse</v>
      </c>
      <c r="BU13" s="3" t="str">
        <f t="shared" si="3"/>
        <v>2015Enhanced MCH ServiceMCH Nurse</v>
      </c>
      <c r="BV13" s="3" t="str">
        <f t="shared" si="3"/>
        <v>2016Enhanced MCH ServiceMCH Nurse</v>
      </c>
      <c r="BW13" s="3" t="str">
        <f t="shared" si="3"/>
        <v>2017Enhanced MCH ServiceMCH Nurse</v>
      </c>
      <c r="BX13" s="3" t="str">
        <f t="shared" si="3"/>
        <v>2015Enhanced MCH ServiceNon MCH Nurse</v>
      </c>
      <c r="BY13" s="3" t="str">
        <f t="shared" si="3"/>
        <v>2016Enhanced MCH ServiceNon MCH Nurse</v>
      </c>
      <c r="BZ13" s="3" t="str">
        <f t="shared" si="3"/>
        <v>2017Enhanced MCH ServiceNon MCH Nurse</v>
      </c>
      <c r="CA13" s="3" t="str">
        <f t="shared" si="3"/>
        <v>2018UniversalMCH Nurse</v>
      </c>
      <c r="CB13" s="3" t="str">
        <f t="shared" si="3"/>
        <v>2018MCH CoordinationMCH Nurse</v>
      </c>
      <c r="CC13" s="3" t="str">
        <f t="shared" si="3"/>
        <v>2018MCH CoordinationNon MCH Nurse</v>
      </c>
      <c r="CD13" s="3" t="str">
        <f t="shared" si="3"/>
        <v>2018Enhanced MCH ServiceMCH Nurse</v>
      </c>
      <c r="CE13" s="3" t="str">
        <f t="shared" si="3"/>
        <v>2018Enhanced MCH ServiceNon MCH Nurse</v>
      </c>
      <c r="CF13" s="3" t="str">
        <f t="shared" si="3"/>
        <v>2019UniversalMCH Nurse</v>
      </c>
      <c r="CG13" s="3" t="str">
        <f t="shared" si="3"/>
        <v>2019MCH CoordinationMCH Nurse</v>
      </c>
      <c r="CH13" s="3" t="str">
        <f t="shared" si="3"/>
        <v>2019MCH CoordinationNon MCH Nurse</v>
      </c>
      <c r="CI13" s="3" t="str">
        <f t="shared" si="3"/>
        <v>2019Enhanced MCH ServiceMCH Nurse</v>
      </c>
      <c r="CJ13" s="3" t="str">
        <f t="shared" si="3"/>
        <v>2019Enhanced MCH ServiceNon MCH Nurse</v>
      </c>
      <c r="CK13" s="3" t="str">
        <f t="shared" si="3"/>
        <v>2020UniversalMCH Nurse</v>
      </c>
      <c r="CL13" s="3" t="str">
        <f t="shared" si="3"/>
        <v>2020MCH CoordinationMCH Nurse</v>
      </c>
      <c r="CM13" s="3" t="str">
        <f t="shared" si="3"/>
        <v>2020MCH CoordinationNon MCH Nurse</v>
      </c>
      <c r="CN13" s="3" t="str">
        <f t="shared" si="3"/>
        <v>2020Enhanced MCH ServiceMCH Nurse</v>
      </c>
      <c r="CO13" s="3" t="str">
        <f t="shared" si="3"/>
        <v>2020Enhanced MCH ServiceNon MCH Nurse</v>
      </c>
    </row>
    <row r="14" spans="1:93" s="78" customFormat="1" ht="33" x14ac:dyDescent="0.3">
      <c r="B14" s="79"/>
      <c r="C14" s="79"/>
      <c r="D14" s="79"/>
      <c r="E14" s="79"/>
      <c r="F14" s="79"/>
      <c r="G14" s="79" t="s">
        <v>193</v>
      </c>
      <c r="H14" s="79" t="s">
        <v>201</v>
      </c>
      <c r="I14" s="79" t="s">
        <v>202</v>
      </c>
      <c r="J14" s="80" t="s">
        <v>335</v>
      </c>
      <c r="K14" s="80" t="s">
        <v>336</v>
      </c>
      <c r="L14" s="80" t="s">
        <v>336</v>
      </c>
      <c r="M14" s="80" t="s">
        <v>337</v>
      </c>
      <c r="N14" s="114"/>
      <c r="O14" s="131"/>
      <c r="P14" s="131"/>
      <c r="Q14" s="131"/>
      <c r="R14" s="79" t="s">
        <v>193</v>
      </c>
      <c r="S14" s="79" t="s">
        <v>201</v>
      </c>
      <c r="T14" s="79" t="s">
        <v>202</v>
      </c>
      <c r="U14" s="80" t="s">
        <v>335</v>
      </c>
      <c r="V14" s="80" t="s">
        <v>336</v>
      </c>
      <c r="W14" s="80" t="s">
        <v>336</v>
      </c>
      <c r="X14" s="80" t="s">
        <v>337</v>
      </c>
      <c r="AC14" s="79" t="s">
        <v>89</v>
      </c>
      <c r="AD14" s="79" t="s">
        <v>90</v>
      </c>
      <c r="AE14" s="79" t="s">
        <v>91</v>
      </c>
      <c r="AF14" s="80" t="s">
        <v>92</v>
      </c>
      <c r="AG14" s="80" t="s">
        <v>93</v>
      </c>
      <c r="AH14" s="80" t="s">
        <v>89</v>
      </c>
      <c r="AI14" s="80" t="s">
        <v>90</v>
      </c>
      <c r="AJ14" s="79" t="s">
        <v>91</v>
      </c>
      <c r="AK14" s="79" t="s">
        <v>92</v>
      </c>
      <c r="AL14" s="79" t="s">
        <v>93</v>
      </c>
      <c r="AM14" s="80" t="s">
        <v>89</v>
      </c>
      <c r="AN14" s="80" t="s">
        <v>90</v>
      </c>
      <c r="AO14" s="80" t="s">
        <v>91</v>
      </c>
      <c r="AP14" s="80" t="s">
        <v>92</v>
      </c>
      <c r="AQ14" s="79" t="s">
        <v>93</v>
      </c>
      <c r="AR14" s="79" t="s">
        <v>89</v>
      </c>
      <c r="AS14" s="79" t="s">
        <v>90</v>
      </c>
      <c r="AT14" s="79" t="s">
        <v>91</v>
      </c>
      <c r="AU14" s="79" t="s">
        <v>92</v>
      </c>
      <c r="AV14" s="79" t="s">
        <v>93</v>
      </c>
      <c r="AW14" s="79" t="s">
        <v>89</v>
      </c>
      <c r="AX14" s="79" t="s">
        <v>90</v>
      </c>
      <c r="AY14" s="79" t="s">
        <v>91</v>
      </c>
      <c r="AZ14" s="79" t="s">
        <v>92</v>
      </c>
      <c r="BA14" s="79" t="s">
        <v>93</v>
      </c>
      <c r="BB14" s="79" t="s">
        <v>89</v>
      </c>
      <c r="BC14" s="79" t="s">
        <v>90</v>
      </c>
      <c r="BD14" s="79" t="s">
        <v>91</v>
      </c>
      <c r="BE14" s="79" t="s">
        <v>92</v>
      </c>
      <c r="BF14" s="79" t="s">
        <v>93</v>
      </c>
      <c r="BI14" s="8"/>
      <c r="BJ14" s="8"/>
      <c r="BK14" s="8"/>
      <c r="BL14" s="81" t="s">
        <v>84</v>
      </c>
      <c r="BM14" s="81" t="s">
        <v>84</v>
      </c>
      <c r="BN14" s="81" t="s">
        <v>84</v>
      </c>
      <c r="BO14" s="81" t="s">
        <v>85</v>
      </c>
      <c r="BP14" s="81" t="s">
        <v>85</v>
      </c>
      <c r="BQ14" s="81" t="s">
        <v>85</v>
      </c>
      <c r="BR14" s="81" t="s">
        <v>85</v>
      </c>
      <c r="BS14" s="81" t="s">
        <v>85</v>
      </c>
      <c r="BT14" s="81" t="s">
        <v>85</v>
      </c>
      <c r="BU14" s="81" t="s">
        <v>86</v>
      </c>
      <c r="BV14" s="81" t="s">
        <v>86</v>
      </c>
      <c r="BW14" s="81" t="s">
        <v>86</v>
      </c>
      <c r="BX14" s="81" t="s">
        <v>86</v>
      </c>
      <c r="BY14" s="81" t="s">
        <v>86</v>
      </c>
      <c r="BZ14" s="81" t="s">
        <v>86</v>
      </c>
      <c r="CA14" s="81" t="s">
        <v>84</v>
      </c>
      <c r="CB14" s="81" t="s">
        <v>85</v>
      </c>
      <c r="CC14" s="81" t="s">
        <v>85</v>
      </c>
      <c r="CD14" s="81" t="s">
        <v>86</v>
      </c>
      <c r="CE14" s="81" t="s">
        <v>86</v>
      </c>
      <c r="CF14" s="81" t="s">
        <v>84</v>
      </c>
      <c r="CG14" s="81" t="s">
        <v>85</v>
      </c>
      <c r="CH14" s="81" t="s">
        <v>85</v>
      </c>
      <c r="CI14" s="81" t="s">
        <v>86</v>
      </c>
      <c r="CJ14" s="81" t="s">
        <v>86</v>
      </c>
      <c r="CK14" s="81" t="s">
        <v>84</v>
      </c>
      <c r="CL14" s="81" t="s">
        <v>85</v>
      </c>
      <c r="CM14" s="81" t="s">
        <v>85</v>
      </c>
      <c r="CN14" s="81" t="s">
        <v>86</v>
      </c>
      <c r="CO14" s="81" t="s">
        <v>86</v>
      </c>
    </row>
    <row r="15" spans="1:93" ht="16.5" x14ac:dyDescent="0.3">
      <c r="B15" t="s">
        <v>111</v>
      </c>
      <c r="C15" s="3" t="s">
        <v>210</v>
      </c>
      <c r="D15" s="132" t="str">
        <f>VLOOKUP(C15,Mapping!$AB$2:$AC$8,2,FALSE)</f>
        <v>Age 0 - 6</v>
      </c>
      <c r="E15" s="132" t="str">
        <f>B15&amp;D15</f>
        <v>Alpine (S)Age 0 - 6</v>
      </c>
      <c r="F15" s="132" t="str">
        <f>INDEX(Mapping!$Y:$Y,MATCH($B15,Mapping!$W:$W,0))</f>
        <v>Rural</v>
      </c>
      <c r="G15" s="45">
        <f>SUMIFS(G$94:G$567,$B$94:$B$567,$B15)</f>
        <v>707</v>
      </c>
      <c r="H15" s="45">
        <f>SUMIFS(H$94:H$567,$B$94:$B$567,$B15)</f>
        <v>647</v>
      </c>
      <c r="I15" s="45">
        <f>SUMIFS(I$94:I$567,$B$94:$B$567,$B15)</f>
        <v>623</v>
      </c>
      <c r="J15" s="5"/>
      <c r="K15" s="5"/>
      <c r="L15" s="5"/>
      <c r="M15" s="5"/>
      <c r="N15"/>
      <c r="P15" t="s">
        <v>3</v>
      </c>
      <c r="Q15" t="s">
        <v>111</v>
      </c>
      <c r="R15" s="18">
        <v>182</v>
      </c>
      <c r="S15" s="18">
        <v>165</v>
      </c>
      <c r="T15" s="18">
        <v>155</v>
      </c>
      <c r="U15" s="5"/>
      <c r="V15" s="5"/>
      <c r="W15" s="5"/>
      <c r="X15" s="5"/>
      <c r="AA15" t="s">
        <v>3</v>
      </c>
      <c r="AB15" t="s">
        <v>111</v>
      </c>
      <c r="AC15" s="18">
        <v>1</v>
      </c>
      <c r="AD15" s="18">
        <v>1</v>
      </c>
      <c r="AE15" s="18">
        <v>0</v>
      </c>
      <c r="AF15" s="18">
        <v>0</v>
      </c>
      <c r="AG15" s="18">
        <v>0</v>
      </c>
      <c r="AH15" s="18">
        <v>0</v>
      </c>
      <c r="AI15" s="18">
        <v>1</v>
      </c>
      <c r="AJ15" s="18">
        <v>0</v>
      </c>
      <c r="AK15" s="18">
        <v>0</v>
      </c>
      <c r="AL15" s="18">
        <v>0</v>
      </c>
      <c r="AM15" s="18">
        <v>1</v>
      </c>
      <c r="AN15" s="18">
        <v>1</v>
      </c>
      <c r="AO15" s="18">
        <v>0</v>
      </c>
      <c r="AP15" s="18">
        <v>0</v>
      </c>
      <c r="AQ15" s="18">
        <v>0</v>
      </c>
      <c r="AR15" s="5"/>
      <c r="AS15" s="5"/>
      <c r="AT15" s="5"/>
      <c r="AU15" s="5"/>
      <c r="AV15" s="5"/>
      <c r="AW15" s="5"/>
      <c r="AX15" s="5"/>
      <c r="AY15" s="5"/>
      <c r="AZ15" s="5"/>
      <c r="BA15" s="5"/>
      <c r="BB15" s="5"/>
      <c r="BC15" s="5"/>
      <c r="BD15" s="5"/>
      <c r="BE15" s="5"/>
      <c r="BF15" s="5"/>
      <c r="BI15" s="9"/>
      <c r="BJ15" s="9"/>
      <c r="BK15" s="9"/>
      <c r="BL15" s="82" t="s">
        <v>87</v>
      </c>
      <c r="BM15" s="82" t="s">
        <v>87</v>
      </c>
      <c r="BN15" s="82" t="s">
        <v>87</v>
      </c>
      <c r="BO15" s="82" t="s">
        <v>87</v>
      </c>
      <c r="BP15" s="82" t="s">
        <v>87</v>
      </c>
      <c r="BQ15" s="82" t="s">
        <v>87</v>
      </c>
      <c r="BR15" s="82" t="s">
        <v>88</v>
      </c>
      <c r="BS15" s="82" t="s">
        <v>88</v>
      </c>
      <c r="BT15" s="82" t="s">
        <v>88</v>
      </c>
      <c r="BU15" s="82" t="s">
        <v>87</v>
      </c>
      <c r="BV15" s="82" t="s">
        <v>87</v>
      </c>
      <c r="BW15" s="82" t="s">
        <v>87</v>
      </c>
      <c r="BX15" s="82" t="s">
        <v>88</v>
      </c>
      <c r="BY15" s="82" t="s">
        <v>88</v>
      </c>
      <c r="BZ15" s="82" t="s">
        <v>88</v>
      </c>
      <c r="CA15" s="82" t="s">
        <v>87</v>
      </c>
      <c r="CB15" s="82" t="s">
        <v>87</v>
      </c>
      <c r="CC15" s="82" t="s">
        <v>88</v>
      </c>
      <c r="CD15" s="82" t="s">
        <v>87</v>
      </c>
      <c r="CE15" s="82" t="s">
        <v>88</v>
      </c>
      <c r="CF15" s="82" t="s">
        <v>87</v>
      </c>
      <c r="CG15" s="82" t="s">
        <v>87</v>
      </c>
      <c r="CH15" s="82" t="s">
        <v>88</v>
      </c>
      <c r="CI15" s="82" t="s">
        <v>87</v>
      </c>
      <c r="CJ15" s="82" t="s">
        <v>88</v>
      </c>
      <c r="CK15" s="82" t="s">
        <v>87</v>
      </c>
      <c r="CL15" s="82" t="s">
        <v>87</v>
      </c>
      <c r="CM15" s="82" t="s">
        <v>88</v>
      </c>
      <c r="CN15" s="82" t="s">
        <v>87</v>
      </c>
      <c r="CO15" s="82" t="s">
        <v>88</v>
      </c>
    </row>
    <row r="16" spans="1:93" ht="16.5" x14ac:dyDescent="0.3">
      <c r="B16" t="s">
        <v>163</v>
      </c>
      <c r="C16" s="3" t="s">
        <v>210</v>
      </c>
      <c r="D16" s="132" t="str">
        <f>VLOOKUP(C16,Mapping!$AB$2:$AC$8,2,FALSE)</f>
        <v>Age 0 - 6</v>
      </c>
      <c r="E16" s="132" t="str">
        <f t="shared" ref="E16:E79" si="4">B16&amp;D16</f>
        <v>Ararat (RC)Age 0 - 6</v>
      </c>
      <c r="F16" s="132" t="str">
        <f>INDEX(Mapping!$Y:$Y,MATCH($B16,Mapping!$W:$W,0))</f>
        <v>Rural</v>
      </c>
      <c r="G16" s="45">
        <f t="shared" ref="G16:I47" si="5">SUMIFS(G$94:G$567,$B$94:$B$567,$B16)</f>
        <v>806</v>
      </c>
      <c r="H16" s="45">
        <f t="shared" si="5"/>
        <v>647</v>
      </c>
      <c r="I16" s="45">
        <f t="shared" si="5"/>
        <v>655</v>
      </c>
      <c r="J16" s="5"/>
      <c r="K16" s="5"/>
      <c r="L16" s="5"/>
      <c r="M16" s="5"/>
      <c r="P16" t="s">
        <v>56</v>
      </c>
      <c r="Q16" t="s">
        <v>163</v>
      </c>
      <c r="R16" s="18">
        <v>214</v>
      </c>
      <c r="S16" s="18">
        <v>194</v>
      </c>
      <c r="T16" s="18">
        <v>211</v>
      </c>
      <c r="U16" s="5"/>
      <c r="V16" s="5"/>
      <c r="W16" s="5"/>
      <c r="X16" s="5"/>
      <c r="AA16" t="s">
        <v>56</v>
      </c>
      <c r="AB16" t="s">
        <v>163</v>
      </c>
      <c r="AC16" s="18">
        <v>0</v>
      </c>
      <c r="AD16" s="18">
        <v>1</v>
      </c>
      <c r="AE16" s="18">
        <v>0</v>
      </c>
      <c r="AF16" s="18">
        <v>1</v>
      </c>
      <c r="AG16" s="18">
        <v>0</v>
      </c>
      <c r="AH16" s="18">
        <v>1</v>
      </c>
      <c r="AI16" s="18">
        <v>1</v>
      </c>
      <c r="AJ16" s="18">
        <v>0</v>
      </c>
      <c r="AK16" s="18">
        <v>1</v>
      </c>
      <c r="AL16" s="18">
        <v>0</v>
      </c>
      <c r="AM16" s="18">
        <v>1</v>
      </c>
      <c r="AN16" s="18">
        <v>1</v>
      </c>
      <c r="AO16" s="18">
        <v>0</v>
      </c>
      <c r="AP16" s="18">
        <v>0</v>
      </c>
      <c r="AQ16" s="18">
        <v>0</v>
      </c>
      <c r="AR16" s="5"/>
      <c r="AS16" s="5"/>
      <c r="AT16" s="5"/>
      <c r="AU16" s="5"/>
      <c r="AV16" s="5"/>
      <c r="AW16" s="5"/>
      <c r="AX16" s="5"/>
      <c r="AY16" s="5"/>
      <c r="AZ16" s="5"/>
      <c r="BA16" s="5"/>
      <c r="BB16" s="5"/>
      <c r="BC16" s="5"/>
      <c r="BD16" s="5"/>
      <c r="BE16" s="5"/>
      <c r="BF16" s="5"/>
      <c r="BL16" s="82" t="s">
        <v>193</v>
      </c>
      <c r="BM16" s="82" t="s">
        <v>201</v>
      </c>
      <c r="BN16" s="82" t="s">
        <v>202</v>
      </c>
      <c r="BO16" s="82" t="s">
        <v>193</v>
      </c>
      <c r="BP16" s="82" t="s">
        <v>201</v>
      </c>
      <c r="BQ16" s="82" t="s">
        <v>202</v>
      </c>
      <c r="BR16" s="82" t="s">
        <v>193</v>
      </c>
      <c r="BS16" s="82" t="s">
        <v>201</v>
      </c>
      <c r="BT16" s="82" t="s">
        <v>202</v>
      </c>
      <c r="BU16" s="82" t="s">
        <v>193</v>
      </c>
      <c r="BV16" s="82" t="s">
        <v>201</v>
      </c>
      <c r="BW16" s="82" t="s">
        <v>202</v>
      </c>
      <c r="BX16" s="82" t="s">
        <v>193</v>
      </c>
      <c r="BY16" s="82" t="s">
        <v>201</v>
      </c>
      <c r="BZ16" s="82" t="s">
        <v>202</v>
      </c>
      <c r="CA16" s="83" t="s">
        <v>335</v>
      </c>
      <c r="CB16" s="83" t="s">
        <v>335</v>
      </c>
      <c r="CC16" s="83" t="s">
        <v>335</v>
      </c>
      <c r="CD16" s="83" t="s">
        <v>335</v>
      </c>
      <c r="CE16" s="83" t="s">
        <v>335</v>
      </c>
      <c r="CF16" s="83" t="s">
        <v>336</v>
      </c>
      <c r="CG16" s="83" t="s">
        <v>336</v>
      </c>
      <c r="CH16" s="83" t="s">
        <v>336</v>
      </c>
      <c r="CI16" s="83" t="s">
        <v>336</v>
      </c>
      <c r="CJ16" s="83" t="s">
        <v>336</v>
      </c>
      <c r="CK16" s="83" t="s">
        <v>337</v>
      </c>
      <c r="CL16" s="83" t="s">
        <v>337</v>
      </c>
      <c r="CM16" s="83" t="s">
        <v>337</v>
      </c>
      <c r="CN16" s="83" t="s">
        <v>337</v>
      </c>
      <c r="CO16" s="83" t="s">
        <v>337</v>
      </c>
    </row>
    <row r="17" spans="2:93" x14ac:dyDescent="0.3">
      <c r="B17" t="s">
        <v>164</v>
      </c>
      <c r="C17" s="3" t="s">
        <v>210</v>
      </c>
      <c r="D17" s="132" t="str">
        <f>VLOOKUP(C17,Mapping!$AB$2:$AC$8,2,FALSE)</f>
        <v>Age 0 - 6</v>
      </c>
      <c r="E17" s="132" t="str">
        <f t="shared" si="4"/>
        <v>Ballarat (C)Age 0 - 6</v>
      </c>
      <c r="F17" s="132" t="str">
        <f>INDEX(Mapping!$Y:$Y,MATCH($B17,Mapping!$W:$W,0))</f>
        <v>Rural</v>
      </c>
      <c r="G17" s="45">
        <f t="shared" si="5"/>
        <v>8315</v>
      </c>
      <c r="H17" s="45">
        <f t="shared" si="5"/>
        <v>8323</v>
      </c>
      <c r="I17" s="45">
        <f t="shared" si="5"/>
        <v>8157</v>
      </c>
      <c r="J17" s="5"/>
      <c r="K17" s="5"/>
      <c r="L17" s="5"/>
      <c r="M17" s="5"/>
      <c r="P17" t="s">
        <v>56</v>
      </c>
      <c r="Q17" t="s">
        <v>164</v>
      </c>
      <c r="R17" s="18">
        <v>2120</v>
      </c>
      <c r="S17" s="18">
        <v>2025</v>
      </c>
      <c r="T17" s="18">
        <v>2193</v>
      </c>
      <c r="U17" s="5"/>
      <c r="V17" s="5"/>
      <c r="W17" s="5"/>
      <c r="X17" s="5"/>
      <c r="AA17" t="s">
        <v>56</v>
      </c>
      <c r="AB17" t="s">
        <v>164</v>
      </c>
      <c r="AC17" s="18">
        <v>6</v>
      </c>
      <c r="AD17" s="18">
        <v>2</v>
      </c>
      <c r="AE17" s="18">
        <v>5</v>
      </c>
      <c r="AF17" s="18">
        <v>4</v>
      </c>
      <c r="AG17" s="18">
        <v>4</v>
      </c>
      <c r="AH17" s="18">
        <v>8</v>
      </c>
      <c r="AI17" s="18">
        <v>2</v>
      </c>
      <c r="AJ17" s="18">
        <v>4</v>
      </c>
      <c r="AK17" s="18">
        <v>5</v>
      </c>
      <c r="AL17" s="18">
        <v>5</v>
      </c>
      <c r="AM17" s="18">
        <v>0</v>
      </c>
      <c r="AN17" s="18">
        <v>0</v>
      </c>
      <c r="AO17" s="18">
        <v>0</v>
      </c>
      <c r="AP17" s="18">
        <v>0</v>
      </c>
      <c r="AQ17" s="18">
        <v>0</v>
      </c>
      <c r="AR17" s="5"/>
      <c r="AS17" s="5"/>
      <c r="AT17" s="5"/>
      <c r="AU17" s="5"/>
      <c r="AV17" s="5"/>
      <c r="AW17" s="5"/>
      <c r="AX17" s="5"/>
      <c r="AY17" s="5"/>
      <c r="AZ17" s="5"/>
      <c r="BA17" s="5"/>
      <c r="BB17" s="5"/>
      <c r="BC17" s="5"/>
      <c r="BD17" s="5"/>
      <c r="BE17" s="5"/>
      <c r="BF17" s="5"/>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row>
    <row r="18" spans="2:93" x14ac:dyDescent="0.3">
      <c r="B18" t="s">
        <v>130</v>
      </c>
      <c r="C18" s="3" t="s">
        <v>210</v>
      </c>
      <c r="D18" s="132" t="str">
        <f>VLOOKUP(C18,Mapping!$AB$2:$AC$8,2,FALSE)</f>
        <v>Age 0 - 6</v>
      </c>
      <c r="E18" s="132" t="str">
        <f t="shared" si="4"/>
        <v>Banyule (C)Age 0 - 6</v>
      </c>
      <c r="F18" s="132" t="str">
        <f>INDEX(Mapping!$Y:$Y,MATCH($B18,Mapping!$W:$W,0))</f>
        <v>Metro</v>
      </c>
      <c r="G18" s="45">
        <f t="shared" si="5"/>
        <v>11450</v>
      </c>
      <c r="H18" s="45">
        <f t="shared" si="5"/>
        <v>9572</v>
      </c>
      <c r="I18" s="45">
        <f t="shared" si="5"/>
        <v>9559</v>
      </c>
      <c r="J18" s="5"/>
      <c r="K18" s="5"/>
      <c r="L18" s="5"/>
      <c r="M18" s="5"/>
      <c r="P18" t="s">
        <v>23</v>
      </c>
      <c r="Q18" t="s">
        <v>130</v>
      </c>
      <c r="R18" s="18">
        <v>1279</v>
      </c>
      <c r="S18" s="18">
        <v>1150</v>
      </c>
      <c r="T18" s="18">
        <v>1243</v>
      </c>
      <c r="U18" s="5"/>
      <c r="V18" s="5"/>
      <c r="W18" s="5"/>
      <c r="X18" s="5"/>
      <c r="AA18" t="s">
        <v>23</v>
      </c>
      <c r="AB18" t="s">
        <v>130</v>
      </c>
      <c r="AC18" s="18">
        <v>7</v>
      </c>
      <c r="AD18" s="18">
        <v>7</v>
      </c>
      <c r="AE18" s="18">
        <v>7</v>
      </c>
      <c r="AF18" s="18">
        <v>6</v>
      </c>
      <c r="AG18" s="18">
        <v>4</v>
      </c>
      <c r="AH18" s="18">
        <v>7</v>
      </c>
      <c r="AI18" s="18">
        <v>6</v>
      </c>
      <c r="AJ18" s="18">
        <v>6</v>
      </c>
      <c r="AK18" s="18">
        <v>6</v>
      </c>
      <c r="AL18" s="18">
        <v>5</v>
      </c>
      <c r="AM18" s="18">
        <v>12</v>
      </c>
      <c r="AN18" s="18">
        <v>5</v>
      </c>
      <c r="AO18" s="18">
        <v>3</v>
      </c>
      <c r="AP18" s="18">
        <v>5</v>
      </c>
      <c r="AQ18" s="18">
        <v>6</v>
      </c>
      <c r="AR18" s="5"/>
      <c r="AS18" s="5"/>
      <c r="AT18" s="5"/>
      <c r="AU18" s="5"/>
      <c r="AV18" s="5"/>
      <c r="AW18" s="5"/>
      <c r="AX18" s="5"/>
      <c r="AY18" s="5"/>
      <c r="AZ18" s="5"/>
      <c r="BA18" s="5"/>
      <c r="BB18" s="5"/>
      <c r="BC18" s="5"/>
      <c r="BD18" s="5"/>
      <c r="BE18" s="5"/>
      <c r="BF18" s="5"/>
      <c r="BJ18" t="s">
        <v>3</v>
      </c>
      <c r="BK18" t="s">
        <v>111</v>
      </c>
      <c r="BL18" s="84">
        <v>0.7</v>
      </c>
      <c r="BM18" s="84">
        <v>0.6</v>
      </c>
      <c r="BN18" s="84">
        <v>0.8</v>
      </c>
      <c r="BO18" s="84">
        <v>0.2</v>
      </c>
      <c r="BP18" s="84">
        <v>0.2</v>
      </c>
      <c r="BQ18" s="84">
        <v>0.2</v>
      </c>
      <c r="BR18" s="84">
        <v>0</v>
      </c>
      <c r="BS18" s="84">
        <v>0</v>
      </c>
      <c r="BT18" s="84">
        <v>0</v>
      </c>
      <c r="BU18" s="84">
        <v>0.4</v>
      </c>
      <c r="BV18" s="84">
        <v>0.2</v>
      </c>
      <c r="BW18" s="84">
        <v>0.4</v>
      </c>
      <c r="BX18" s="84">
        <v>0</v>
      </c>
      <c r="BY18" s="84">
        <v>0</v>
      </c>
      <c r="BZ18" s="84">
        <v>0</v>
      </c>
      <c r="CA18" s="5"/>
      <c r="CB18" s="5"/>
      <c r="CC18" s="5"/>
      <c r="CD18" s="5"/>
      <c r="CE18" s="5"/>
      <c r="CF18" s="5"/>
      <c r="CG18" s="5"/>
      <c r="CH18" s="5"/>
      <c r="CI18" s="5"/>
      <c r="CJ18" s="5"/>
      <c r="CK18" s="5"/>
      <c r="CL18" s="5"/>
      <c r="CM18" s="5"/>
      <c r="CN18" s="5"/>
      <c r="CO18" s="5"/>
    </row>
    <row r="19" spans="2:93" x14ac:dyDescent="0.3">
      <c r="B19" t="s">
        <v>147</v>
      </c>
      <c r="C19" s="3" t="s">
        <v>210</v>
      </c>
      <c r="D19" s="132" t="str">
        <f>VLOOKUP(C19,Mapping!$AB$2:$AC$8,2,FALSE)</f>
        <v>Age 0 - 6</v>
      </c>
      <c r="E19" s="132" t="str">
        <f t="shared" si="4"/>
        <v>Bass Coast (S)Age 0 - 6</v>
      </c>
      <c r="F19" s="132" t="str">
        <f>INDEX(Mapping!$Y:$Y,MATCH($B19,Mapping!$W:$W,0))</f>
        <v>Rural</v>
      </c>
      <c r="G19" s="45">
        <f t="shared" si="5"/>
        <v>2471</v>
      </c>
      <c r="H19" s="45">
        <f t="shared" si="5"/>
        <v>2051</v>
      </c>
      <c r="I19" s="45">
        <f t="shared" si="5"/>
        <v>1865</v>
      </c>
      <c r="J19" s="5"/>
      <c r="K19" s="5"/>
      <c r="L19" s="5"/>
      <c r="M19" s="5"/>
      <c r="P19" t="s">
        <v>41</v>
      </c>
      <c r="Q19" t="s">
        <v>147</v>
      </c>
      <c r="R19" s="18">
        <v>693</v>
      </c>
      <c r="S19" s="18">
        <v>634</v>
      </c>
      <c r="T19" s="18">
        <v>653</v>
      </c>
      <c r="U19" s="5"/>
      <c r="V19" s="5"/>
      <c r="W19" s="5"/>
      <c r="X19" s="5"/>
      <c r="AA19" t="s">
        <v>41</v>
      </c>
      <c r="AB19" t="s">
        <v>147</v>
      </c>
      <c r="AC19" s="18">
        <v>2</v>
      </c>
      <c r="AD19" s="18">
        <v>0</v>
      </c>
      <c r="AE19" s="18">
        <v>2</v>
      </c>
      <c r="AF19" s="18">
        <v>0</v>
      </c>
      <c r="AG19" s="18">
        <v>0</v>
      </c>
      <c r="AH19" s="18">
        <v>2</v>
      </c>
      <c r="AI19" s="18">
        <v>2</v>
      </c>
      <c r="AJ19" s="18">
        <v>2</v>
      </c>
      <c r="AK19" s="18">
        <v>1</v>
      </c>
      <c r="AL19" s="18">
        <v>0</v>
      </c>
      <c r="AM19" s="18">
        <v>2</v>
      </c>
      <c r="AN19" s="18">
        <v>1</v>
      </c>
      <c r="AO19" s="18">
        <v>1</v>
      </c>
      <c r="AP19" s="18">
        <v>2</v>
      </c>
      <c r="AQ19" s="18">
        <v>0</v>
      </c>
      <c r="AR19" s="5"/>
      <c r="AS19" s="5"/>
      <c r="AT19" s="5"/>
      <c r="AU19" s="5"/>
      <c r="AV19" s="5"/>
      <c r="AW19" s="5"/>
      <c r="AX19" s="5"/>
      <c r="AY19" s="5"/>
      <c r="AZ19" s="5"/>
      <c r="BA19" s="5"/>
      <c r="BB19" s="5"/>
      <c r="BC19" s="5"/>
      <c r="BD19" s="5"/>
      <c r="BE19" s="5"/>
      <c r="BF19" s="5"/>
      <c r="BJ19" t="s">
        <v>56</v>
      </c>
      <c r="BK19" t="s">
        <v>163</v>
      </c>
      <c r="BL19" s="84">
        <v>1.4</v>
      </c>
      <c r="BM19" s="84">
        <v>1.4</v>
      </c>
      <c r="BN19" s="84">
        <v>1.4</v>
      </c>
      <c r="BO19" s="84">
        <v>0</v>
      </c>
      <c r="BP19" s="84">
        <v>0</v>
      </c>
      <c r="BQ19" s="84">
        <v>0</v>
      </c>
      <c r="BR19" s="84">
        <v>0</v>
      </c>
      <c r="BS19" s="84">
        <v>0</v>
      </c>
      <c r="BT19" s="84">
        <v>0</v>
      </c>
      <c r="BU19" s="84">
        <v>0.1</v>
      </c>
      <c r="BV19" s="84">
        <v>0.1</v>
      </c>
      <c r="BW19" s="84">
        <v>0.1</v>
      </c>
      <c r="BX19" s="84">
        <v>0</v>
      </c>
      <c r="BY19" s="84">
        <v>0</v>
      </c>
      <c r="BZ19" s="84">
        <v>0</v>
      </c>
      <c r="CA19" s="5"/>
      <c r="CB19" s="5"/>
      <c r="CC19" s="5"/>
      <c r="CD19" s="5"/>
      <c r="CE19" s="5"/>
      <c r="CF19" s="5"/>
      <c r="CG19" s="5"/>
      <c r="CH19" s="5"/>
      <c r="CI19" s="5"/>
      <c r="CJ19" s="5"/>
      <c r="CK19" s="5"/>
      <c r="CL19" s="5"/>
      <c r="CM19" s="5"/>
      <c r="CN19" s="5"/>
      <c r="CO19" s="5"/>
    </row>
    <row r="20" spans="2:93" x14ac:dyDescent="0.3">
      <c r="B20" t="s">
        <v>148</v>
      </c>
      <c r="C20" s="3" t="s">
        <v>210</v>
      </c>
      <c r="D20" s="132" t="str">
        <f>VLOOKUP(C20,Mapping!$AB$2:$AC$8,2,FALSE)</f>
        <v>Age 0 - 6</v>
      </c>
      <c r="E20" s="132" t="str">
        <f t="shared" si="4"/>
        <v>Baw Baw (S)Age 0 - 6</v>
      </c>
      <c r="F20" s="132" t="str">
        <f>INDEX(Mapping!$Y:$Y,MATCH($B20,Mapping!$W:$W,0))</f>
        <v>Rural</v>
      </c>
      <c r="G20" s="45">
        <f t="shared" si="5"/>
        <v>3726</v>
      </c>
      <c r="H20" s="45">
        <f t="shared" si="5"/>
        <v>3721</v>
      </c>
      <c r="I20" s="45">
        <f t="shared" si="5"/>
        <v>3822</v>
      </c>
      <c r="J20" s="5"/>
      <c r="K20" s="5"/>
      <c r="L20" s="5"/>
      <c r="M20" s="5"/>
      <c r="P20" t="s">
        <v>41</v>
      </c>
      <c r="Q20" t="s">
        <v>148</v>
      </c>
      <c r="R20" s="18">
        <v>807</v>
      </c>
      <c r="S20" s="18">
        <v>802</v>
      </c>
      <c r="T20" s="18">
        <v>887</v>
      </c>
      <c r="U20" s="5"/>
      <c r="V20" s="5"/>
      <c r="W20" s="5"/>
      <c r="X20" s="5"/>
      <c r="AA20" t="s">
        <v>41</v>
      </c>
      <c r="AB20" t="s">
        <v>148</v>
      </c>
      <c r="AC20" s="18">
        <v>0</v>
      </c>
      <c r="AD20" s="18">
        <v>1</v>
      </c>
      <c r="AE20" s="18">
        <v>1</v>
      </c>
      <c r="AF20" s="18">
        <v>1</v>
      </c>
      <c r="AG20" s="18">
        <v>5</v>
      </c>
      <c r="AH20" s="18">
        <v>0</v>
      </c>
      <c r="AI20" s="18">
        <v>0</v>
      </c>
      <c r="AJ20" s="18">
        <v>3</v>
      </c>
      <c r="AK20" s="18">
        <v>2</v>
      </c>
      <c r="AL20" s="18">
        <v>3</v>
      </c>
      <c r="AM20" s="18">
        <v>0</v>
      </c>
      <c r="AN20" s="18">
        <v>0</v>
      </c>
      <c r="AO20" s="18">
        <v>6</v>
      </c>
      <c r="AP20" s="18">
        <v>2</v>
      </c>
      <c r="AQ20" s="18">
        <v>5</v>
      </c>
      <c r="AR20" s="5"/>
      <c r="AS20" s="5"/>
      <c r="AT20" s="5"/>
      <c r="AU20" s="5"/>
      <c r="AV20" s="5"/>
      <c r="AW20" s="5"/>
      <c r="AX20" s="5"/>
      <c r="AY20" s="5"/>
      <c r="AZ20" s="5"/>
      <c r="BA20" s="5"/>
      <c r="BB20" s="5"/>
      <c r="BC20" s="5"/>
      <c r="BD20" s="5"/>
      <c r="BE20" s="5"/>
      <c r="BF20" s="5"/>
      <c r="BJ20" t="s">
        <v>56</v>
      </c>
      <c r="BK20" t="s">
        <v>164</v>
      </c>
      <c r="BL20" s="84">
        <v>10.6</v>
      </c>
      <c r="BM20" s="84">
        <v>15.14</v>
      </c>
      <c r="BN20" s="84">
        <v>9.4</v>
      </c>
      <c r="BO20" s="84">
        <v>0.4</v>
      </c>
      <c r="BP20" s="84">
        <v>1.5</v>
      </c>
      <c r="BQ20" s="84">
        <v>1.4</v>
      </c>
      <c r="BR20" s="84">
        <v>0.8</v>
      </c>
      <c r="BS20" s="84">
        <v>0</v>
      </c>
      <c r="BT20" s="84">
        <v>0</v>
      </c>
      <c r="BU20" s="84">
        <v>1</v>
      </c>
      <c r="BV20" s="84">
        <v>1</v>
      </c>
      <c r="BW20" s="85">
        <f>BV20</f>
        <v>1</v>
      </c>
      <c r="BX20" s="84">
        <v>0.8</v>
      </c>
      <c r="BY20" s="84">
        <v>0.8</v>
      </c>
      <c r="BZ20" s="84">
        <v>0</v>
      </c>
      <c r="CA20" s="5"/>
      <c r="CB20" s="5"/>
      <c r="CC20" s="5"/>
      <c r="CD20" s="5"/>
      <c r="CE20" s="5"/>
      <c r="CF20" s="5"/>
      <c r="CG20" s="5"/>
      <c r="CH20" s="5"/>
      <c r="CI20" s="5"/>
      <c r="CJ20" s="5"/>
      <c r="CK20" s="5"/>
      <c r="CL20" s="5"/>
      <c r="CM20" s="5"/>
      <c r="CN20" s="5"/>
      <c r="CO20" s="5"/>
    </row>
    <row r="21" spans="2:93" x14ac:dyDescent="0.3">
      <c r="B21" t="s">
        <v>149</v>
      </c>
      <c r="C21" s="3" t="s">
        <v>210</v>
      </c>
      <c r="D21" s="132" t="str">
        <f>VLOOKUP(C21,Mapping!$AB$2:$AC$8,2,FALSE)</f>
        <v>Age 0 - 6</v>
      </c>
      <c r="E21" s="132" t="str">
        <f t="shared" si="4"/>
        <v>Bayside (C)Age 0 - 6</v>
      </c>
      <c r="F21" s="132" t="str">
        <f>INDEX(Mapping!$Y:$Y,MATCH($B21,Mapping!$W:$W,0))</f>
        <v>Metro</v>
      </c>
      <c r="G21" s="45">
        <f t="shared" si="5"/>
        <v>6359</v>
      </c>
      <c r="H21" s="45">
        <f t="shared" si="5"/>
        <v>6250</v>
      </c>
      <c r="I21" s="45">
        <f t="shared" si="5"/>
        <v>6287</v>
      </c>
      <c r="J21" s="5"/>
      <c r="K21" s="5"/>
      <c r="L21" s="5"/>
      <c r="M21" s="5"/>
      <c r="P21" t="s">
        <v>41</v>
      </c>
      <c r="Q21" t="s">
        <v>149</v>
      </c>
      <c r="R21" s="18">
        <v>440</v>
      </c>
      <c r="S21" s="18">
        <v>396</v>
      </c>
      <c r="T21" s="18">
        <v>389</v>
      </c>
      <c r="U21" s="5"/>
      <c r="V21" s="5"/>
      <c r="W21" s="5"/>
      <c r="X21" s="5"/>
      <c r="AA21" t="s">
        <v>41</v>
      </c>
      <c r="AB21" t="s">
        <v>149</v>
      </c>
      <c r="AC21" s="18">
        <v>2</v>
      </c>
      <c r="AD21" s="18">
        <v>4</v>
      </c>
      <c r="AE21" s="18">
        <v>2</v>
      </c>
      <c r="AF21" s="18">
        <v>2</v>
      </c>
      <c r="AG21" s="18">
        <v>4</v>
      </c>
      <c r="AH21" s="18">
        <v>3</v>
      </c>
      <c r="AI21" s="18">
        <v>2</v>
      </c>
      <c r="AJ21" s="18">
        <v>1</v>
      </c>
      <c r="AK21" s="18">
        <v>4</v>
      </c>
      <c r="AL21" s="18">
        <v>4</v>
      </c>
      <c r="AM21" s="18">
        <v>3</v>
      </c>
      <c r="AN21" s="18">
        <v>2</v>
      </c>
      <c r="AO21" s="18">
        <v>1</v>
      </c>
      <c r="AP21" s="18">
        <v>3</v>
      </c>
      <c r="AQ21" s="18">
        <v>5</v>
      </c>
      <c r="AR21" s="5"/>
      <c r="AS21" s="5"/>
      <c r="AT21" s="5"/>
      <c r="AU21" s="5"/>
      <c r="AV21" s="5"/>
      <c r="AW21" s="5"/>
      <c r="AX21" s="5"/>
      <c r="AY21" s="5"/>
      <c r="AZ21" s="5"/>
      <c r="BA21" s="5"/>
      <c r="BB21" s="5"/>
      <c r="BC21" s="5"/>
      <c r="BD21" s="5"/>
      <c r="BE21" s="5"/>
      <c r="BF21" s="5"/>
      <c r="BJ21" t="s">
        <v>23</v>
      </c>
      <c r="BK21" t="s">
        <v>130</v>
      </c>
      <c r="BL21" s="84">
        <v>12.7</v>
      </c>
      <c r="BM21" s="84">
        <v>12.7</v>
      </c>
      <c r="BN21" s="84">
        <v>12.7</v>
      </c>
      <c r="BO21" s="84">
        <v>0.8</v>
      </c>
      <c r="BP21" s="84">
        <v>0.8</v>
      </c>
      <c r="BQ21" s="84">
        <v>0</v>
      </c>
      <c r="BR21" s="84">
        <v>0.6</v>
      </c>
      <c r="BS21" s="84">
        <v>0</v>
      </c>
      <c r="BT21" s="84">
        <v>0.8</v>
      </c>
      <c r="BU21" s="84">
        <v>0.7</v>
      </c>
      <c r="BV21" s="84">
        <v>0.8</v>
      </c>
      <c r="BW21" s="84">
        <v>1</v>
      </c>
      <c r="BX21" s="84">
        <v>0</v>
      </c>
      <c r="BY21" s="84">
        <v>0</v>
      </c>
      <c r="BZ21" s="84">
        <v>0</v>
      </c>
      <c r="CA21" s="5"/>
      <c r="CB21" s="5"/>
      <c r="CC21" s="5"/>
      <c r="CD21" s="5"/>
      <c r="CE21" s="5"/>
      <c r="CF21" s="5"/>
      <c r="CG21" s="5"/>
      <c r="CH21" s="5"/>
      <c r="CI21" s="5"/>
      <c r="CJ21" s="5"/>
      <c r="CK21" s="5"/>
      <c r="CL21" s="5"/>
      <c r="CM21" s="5"/>
      <c r="CN21" s="5"/>
      <c r="CO21" s="5"/>
    </row>
    <row r="22" spans="2:93" x14ac:dyDescent="0.3">
      <c r="B22" t="s">
        <v>112</v>
      </c>
      <c r="C22" s="3" t="s">
        <v>210</v>
      </c>
      <c r="D22" s="132" t="str">
        <f>VLOOKUP(C22,Mapping!$AB$2:$AC$8,2,FALSE)</f>
        <v>Age 0 - 6</v>
      </c>
      <c r="E22" s="132" t="str">
        <f t="shared" si="4"/>
        <v>Benalla (RC)Age 0 - 6</v>
      </c>
      <c r="F22" s="132" t="str">
        <f>INDEX(Mapping!$Y:$Y,MATCH($B22,Mapping!$W:$W,0))</f>
        <v>Rural</v>
      </c>
      <c r="G22" s="45">
        <f t="shared" si="5"/>
        <v>854</v>
      </c>
      <c r="H22" s="45">
        <f t="shared" si="5"/>
        <v>826</v>
      </c>
      <c r="I22" s="45">
        <f t="shared" si="5"/>
        <v>831</v>
      </c>
      <c r="J22" s="5"/>
      <c r="K22" s="5"/>
      <c r="L22" s="5"/>
      <c r="M22" s="5"/>
      <c r="P22" t="s">
        <v>3</v>
      </c>
      <c r="Q22" t="s">
        <v>112</v>
      </c>
      <c r="R22" s="18">
        <v>321</v>
      </c>
      <c r="S22" s="18">
        <v>289</v>
      </c>
      <c r="T22" s="18">
        <v>270</v>
      </c>
      <c r="U22" s="5"/>
      <c r="V22" s="5"/>
      <c r="W22" s="5"/>
      <c r="X22" s="5"/>
      <c r="AA22" t="s">
        <v>3</v>
      </c>
      <c r="AB22" t="s">
        <v>112</v>
      </c>
      <c r="AC22" s="18">
        <v>1</v>
      </c>
      <c r="AD22" s="18">
        <v>0</v>
      </c>
      <c r="AE22" s="18">
        <v>1</v>
      </c>
      <c r="AF22" s="18">
        <v>1</v>
      </c>
      <c r="AG22" s="18">
        <v>0</v>
      </c>
      <c r="AH22" s="18">
        <v>0</v>
      </c>
      <c r="AI22" s="18">
        <v>0</v>
      </c>
      <c r="AJ22" s="18">
        <v>1</v>
      </c>
      <c r="AK22" s="18">
        <v>0</v>
      </c>
      <c r="AL22" s="18">
        <v>1</v>
      </c>
      <c r="AM22" s="18">
        <v>0</v>
      </c>
      <c r="AN22" s="18">
        <v>2</v>
      </c>
      <c r="AO22" s="18">
        <v>1</v>
      </c>
      <c r="AP22" s="18">
        <v>1</v>
      </c>
      <c r="AQ22" s="18">
        <v>2</v>
      </c>
      <c r="AR22" s="5"/>
      <c r="AS22" s="5"/>
      <c r="AT22" s="5"/>
      <c r="AU22" s="5"/>
      <c r="AV22" s="5"/>
      <c r="AW22" s="5"/>
      <c r="AX22" s="5"/>
      <c r="AY22" s="5"/>
      <c r="AZ22" s="5"/>
      <c r="BA22" s="5"/>
      <c r="BB22" s="5"/>
      <c r="BC22" s="5"/>
      <c r="BD22" s="5"/>
      <c r="BE22" s="5"/>
      <c r="BF22" s="5"/>
      <c r="BJ22" t="s">
        <v>41</v>
      </c>
      <c r="BK22" t="s">
        <v>147</v>
      </c>
      <c r="BL22" s="84">
        <v>2</v>
      </c>
      <c r="BM22" s="84">
        <v>2.2000000000000002</v>
      </c>
      <c r="BN22" s="84">
        <v>2.4</v>
      </c>
      <c r="BO22" s="84">
        <v>0</v>
      </c>
      <c r="BP22" s="84">
        <v>0.1</v>
      </c>
      <c r="BQ22" s="84">
        <v>0.1</v>
      </c>
      <c r="BR22" s="84">
        <v>0</v>
      </c>
      <c r="BS22" s="84">
        <v>0</v>
      </c>
      <c r="BT22" s="84">
        <v>0</v>
      </c>
      <c r="BU22" s="84">
        <v>0.4</v>
      </c>
      <c r="BV22" s="84">
        <v>0.4</v>
      </c>
      <c r="BW22" s="84">
        <v>0.5</v>
      </c>
      <c r="BX22" s="84">
        <v>0</v>
      </c>
      <c r="BY22" s="84">
        <v>0</v>
      </c>
      <c r="BZ22" s="84">
        <v>0</v>
      </c>
      <c r="CA22" s="5"/>
      <c r="CB22" s="5"/>
      <c r="CC22" s="5"/>
      <c r="CD22" s="5"/>
      <c r="CE22" s="5"/>
      <c r="CF22" s="5"/>
      <c r="CG22" s="5"/>
      <c r="CH22" s="5"/>
      <c r="CI22" s="5"/>
      <c r="CJ22" s="5"/>
      <c r="CK22" s="5"/>
      <c r="CL22" s="5"/>
      <c r="CM22" s="5"/>
      <c r="CN22" s="5"/>
      <c r="CO22" s="5"/>
    </row>
    <row r="23" spans="2:93" x14ac:dyDescent="0.3">
      <c r="B23" t="s">
        <v>113</v>
      </c>
      <c r="C23" s="3" t="s">
        <v>210</v>
      </c>
      <c r="D23" s="132" t="str">
        <f>VLOOKUP(C23,Mapping!$AB$2:$AC$8,2,FALSE)</f>
        <v>Age 0 - 6</v>
      </c>
      <c r="E23" s="132" t="str">
        <f t="shared" si="4"/>
        <v>Boroondara (C)Age 0 - 6</v>
      </c>
      <c r="F23" s="132" t="str">
        <f>INDEX(Mapping!$Y:$Y,MATCH($B23,Mapping!$W:$W,0))</f>
        <v>Metro</v>
      </c>
      <c r="G23" s="45">
        <f t="shared" si="5"/>
        <v>10173</v>
      </c>
      <c r="H23" s="45">
        <f t="shared" si="5"/>
        <v>9838</v>
      </c>
      <c r="I23" s="45">
        <f t="shared" si="5"/>
        <v>9531</v>
      </c>
      <c r="J23" s="5"/>
      <c r="K23" s="5"/>
      <c r="L23" s="5"/>
      <c r="M23" s="5"/>
      <c r="P23" t="s">
        <v>3</v>
      </c>
      <c r="Q23" t="s">
        <v>113</v>
      </c>
      <c r="R23" s="18">
        <v>631</v>
      </c>
      <c r="S23" s="18">
        <v>613</v>
      </c>
      <c r="T23" s="18">
        <v>640</v>
      </c>
      <c r="U23" s="5"/>
      <c r="V23" s="5"/>
      <c r="W23" s="5"/>
      <c r="X23" s="5"/>
      <c r="AA23" t="s">
        <v>3</v>
      </c>
      <c r="AB23" t="s">
        <v>113</v>
      </c>
      <c r="AC23" s="18">
        <v>3</v>
      </c>
      <c r="AD23" s="18">
        <v>3</v>
      </c>
      <c r="AE23" s="18">
        <v>5</v>
      </c>
      <c r="AF23" s="18">
        <v>3</v>
      </c>
      <c r="AG23" s="18">
        <v>4</v>
      </c>
      <c r="AH23" s="18">
        <v>3</v>
      </c>
      <c r="AI23" s="18">
        <v>3</v>
      </c>
      <c r="AJ23" s="18">
        <v>5</v>
      </c>
      <c r="AK23" s="18">
        <v>3</v>
      </c>
      <c r="AL23" s="18">
        <v>5</v>
      </c>
      <c r="AM23" s="18">
        <v>1</v>
      </c>
      <c r="AN23" s="18">
        <v>3</v>
      </c>
      <c r="AO23" s="18">
        <v>4</v>
      </c>
      <c r="AP23" s="18">
        <v>4</v>
      </c>
      <c r="AQ23" s="18">
        <v>6</v>
      </c>
      <c r="AR23" s="5"/>
      <c r="AS23" s="5"/>
      <c r="AT23" s="5"/>
      <c r="AU23" s="5"/>
      <c r="AV23" s="5"/>
      <c r="AW23" s="5"/>
      <c r="AX23" s="5"/>
      <c r="AY23" s="5"/>
      <c r="AZ23" s="5"/>
      <c r="BA23" s="5"/>
      <c r="BB23" s="5"/>
      <c r="BC23" s="5"/>
      <c r="BD23" s="5"/>
      <c r="BE23" s="5"/>
      <c r="BF23" s="5"/>
      <c r="BJ23" t="s">
        <v>41</v>
      </c>
      <c r="BK23" t="s">
        <v>148</v>
      </c>
      <c r="BL23" s="84">
        <v>4.0999999999999996</v>
      </c>
      <c r="BM23" s="84">
        <v>4.3600000000000003</v>
      </c>
      <c r="BN23" s="84">
        <v>4.95</v>
      </c>
      <c r="BO23" s="84">
        <v>1</v>
      </c>
      <c r="BP23" s="84">
        <v>1</v>
      </c>
      <c r="BQ23" s="84">
        <v>0.4</v>
      </c>
      <c r="BR23" s="84">
        <v>0</v>
      </c>
      <c r="BS23" s="84">
        <v>0</v>
      </c>
      <c r="BT23" s="84">
        <v>0</v>
      </c>
      <c r="BU23" s="84">
        <v>0.74</v>
      </c>
      <c r="BV23" s="84">
        <v>0.74</v>
      </c>
      <c r="BW23" s="84">
        <v>0.8</v>
      </c>
      <c r="BX23" s="84">
        <v>0</v>
      </c>
      <c r="BY23" s="84">
        <v>0</v>
      </c>
      <c r="BZ23" s="84">
        <v>0</v>
      </c>
      <c r="CA23" s="5"/>
      <c r="CB23" s="5"/>
      <c r="CC23" s="5"/>
      <c r="CD23" s="5"/>
      <c r="CE23" s="5"/>
      <c r="CF23" s="5"/>
      <c r="CG23" s="5"/>
      <c r="CH23" s="5"/>
      <c r="CI23" s="5"/>
      <c r="CJ23" s="5"/>
      <c r="CK23" s="5"/>
      <c r="CL23" s="5"/>
      <c r="CM23" s="5"/>
      <c r="CN23" s="5"/>
      <c r="CO23" s="5"/>
    </row>
    <row r="24" spans="2:93" x14ac:dyDescent="0.3">
      <c r="B24" t="s">
        <v>165</v>
      </c>
      <c r="C24" s="3" t="s">
        <v>210</v>
      </c>
      <c r="D24" s="132" t="str">
        <f>VLOOKUP(C24,Mapping!$AB$2:$AC$8,2,FALSE)</f>
        <v>Age 0 - 6</v>
      </c>
      <c r="E24" s="132" t="str">
        <f t="shared" si="4"/>
        <v>Brimbank (C)Age 0 - 6</v>
      </c>
      <c r="F24" s="132" t="str">
        <f>INDEX(Mapping!$Y:$Y,MATCH($B24,Mapping!$W:$W,0))</f>
        <v>Metro</v>
      </c>
      <c r="G24" s="45">
        <f t="shared" si="5"/>
        <v>17677</v>
      </c>
      <c r="H24" s="45">
        <f t="shared" si="5"/>
        <v>18135</v>
      </c>
      <c r="I24" s="45">
        <f t="shared" si="5"/>
        <v>18245</v>
      </c>
      <c r="J24" s="5"/>
      <c r="K24" s="5"/>
      <c r="L24" s="5"/>
      <c r="M24" s="5"/>
      <c r="P24" t="s">
        <v>56</v>
      </c>
      <c r="Q24" t="s">
        <v>165</v>
      </c>
      <c r="R24" s="18">
        <v>5316</v>
      </c>
      <c r="S24" s="18">
        <v>4952</v>
      </c>
      <c r="T24" s="18">
        <v>5384</v>
      </c>
      <c r="U24" s="5"/>
      <c r="V24" s="5"/>
      <c r="W24" s="5"/>
      <c r="X24" s="5"/>
      <c r="AA24" t="s">
        <v>56</v>
      </c>
      <c r="AB24" t="s">
        <v>165</v>
      </c>
      <c r="AC24" s="18">
        <v>5</v>
      </c>
      <c r="AD24" s="18">
        <v>5</v>
      </c>
      <c r="AE24" s="18">
        <v>4</v>
      </c>
      <c r="AF24" s="18">
        <v>5</v>
      </c>
      <c r="AG24" s="18">
        <v>5</v>
      </c>
      <c r="AH24" s="18">
        <v>9</v>
      </c>
      <c r="AI24" s="18">
        <v>4</v>
      </c>
      <c r="AJ24" s="18">
        <v>2</v>
      </c>
      <c r="AK24" s="18">
        <v>3</v>
      </c>
      <c r="AL24" s="18">
        <v>7</v>
      </c>
      <c r="AM24" s="18">
        <v>10</v>
      </c>
      <c r="AN24" s="18">
        <v>5</v>
      </c>
      <c r="AO24" s="18">
        <v>4</v>
      </c>
      <c r="AP24" s="18">
        <v>2</v>
      </c>
      <c r="AQ24" s="18">
        <v>8</v>
      </c>
      <c r="AR24" s="5"/>
      <c r="AS24" s="5"/>
      <c r="AT24" s="5"/>
      <c r="AU24" s="5"/>
      <c r="AV24" s="5"/>
      <c r="AW24" s="5"/>
      <c r="AX24" s="5"/>
      <c r="AY24" s="5"/>
      <c r="AZ24" s="5"/>
      <c r="BA24" s="5"/>
      <c r="BB24" s="5"/>
      <c r="BC24" s="5"/>
      <c r="BD24" s="5"/>
      <c r="BE24" s="5"/>
      <c r="BF24" s="5"/>
      <c r="BJ24" t="s">
        <v>41</v>
      </c>
      <c r="BK24" t="s">
        <v>149</v>
      </c>
      <c r="BL24" s="84">
        <v>11.15</v>
      </c>
      <c r="BM24" s="84">
        <v>8.4</v>
      </c>
      <c r="BN24" s="84">
        <v>8.4</v>
      </c>
      <c r="BO24" s="84">
        <v>1</v>
      </c>
      <c r="BP24" s="84">
        <v>1</v>
      </c>
      <c r="BQ24" s="84">
        <v>1</v>
      </c>
      <c r="BR24" s="84">
        <v>0</v>
      </c>
      <c r="BS24" s="84">
        <v>0</v>
      </c>
      <c r="BT24" s="84">
        <v>0</v>
      </c>
      <c r="BU24" s="84">
        <v>1.8</v>
      </c>
      <c r="BV24" s="84">
        <v>1.2</v>
      </c>
      <c r="BW24" s="84">
        <v>1.2</v>
      </c>
      <c r="BX24" s="84">
        <v>0</v>
      </c>
      <c r="BY24" s="84">
        <v>0</v>
      </c>
      <c r="BZ24" s="84">
        <v>0</v>
      </c>
      <c r="CA24" s="5"/>
      <c r="CB24" s="5"/>
      <c r="CC24" s="5"/>
      <c r="CD24" s="5"/>
      <c r="CE24" s="5"/>
      <c r="CF24" s="5"/>
      <c r="CG24" s="5"/>
      <c r="CH24" s="5"/>
      <c r="CI24" s="5"/>
      <c r="CJ24" s="5"/>
      <c r="CK24" s="5"/>
      <c r="CL24" s="5"/>
      <c r="CM24" s="5"/>
      <c r="CN24" s="5"/>
      <c r="CO24" s="5"/>
    </row>
    <row r="25" spans="2:93" x14ac:dyDescent="0.3">
      <c r="B25" t="s">
        <v>131</v>
      </c>
      <c r="C25" s="3" t="s">
        <v>210</v>
      </c>
      <c r="D25" s="132" t="str">
        <f>VLOOKUP(C25,Mapping!$AB$2:$AC$8,2,FALSE)</f>
        <v>Age 0 - 6</v>
      </c>
      <c r="E25" s="132" t="str">
        <f t="shared" si="4"/>
        <v>Buloke (S)Age 0 - 6</v>
      </c>
      <c r="F25" s="132" t="str">
        <f>INDEX(Mapping!$Y:$Y,MATCH($B25,Mapping!$W:$W,0))</f>
        <v>Rural</v>
      </c>
      <c r="G25" s="45">
        <f t="shared" si="5"/>
        <v>347</v>
      </c>
      <c r="H25" s="45">
        <f t="shared" si="5"/>
        <v>364</v>
      </c>
      <c r="I25" s="45">
        <f t="shared" si="5"/>
        <v>377</v>
      </c>
      <c r="J25" s="5"/>
      <c r="K25" s="5"/>
      <c r="L25" s="5"/>
      <c r="M25" s="5"/>
      <c r="P25" t="s">
        <v>23</v>
      </c>
      <c r="Q25" t="s">
        <v>131</v>
      </c>
      <c r="R25" s="18">
        <v>82</v>
      </c>
      <c r="S25" s="18">
        <v>78</v>
      </c>
      <c r="T25" s="18">
        <v>83</v>
      </c>
      <c r="U25" s="5"/>
      <c r="V25" s="5"/>
      <c r="W25" s="5"/>
      <c r="X25" s="5"/>
      <c r="AA25" t="s">
        <v>23</v>
      </c>
      <c r="AB25" t="s">
        <v>131</v>
      </c>
      <c r="AC25" s="18">
        <v>0</v>
      </c>
      <c r="AD25" s="18">
        <v>0</v>
      </c>
      <c r="AE25" s="18">
        <v>2</v>
      </c>
      <c r="AF25" s="18">
        <v>0</v>
      </c>
      <c r="AG25" s="18">
        <v>0</v>
      </c>
      <c r="AH25" s="18">
        <v>0</v>
      </c>
      <c r="AI25" s="18">
        <v>1</v>
      </c>
      <c r="AJ25" s="18">
        <v>1</v>
      </c>
      <c r="AK25" s="18">
        <v>0</v>
      </c>
      <c r="AL25" s="18">
        <v>0</v>
      </c>
      <c r="AM25" s="18">
        <v>1</v>
      </c>
      <c r="AN25" s="18">
        <v>0</v>
      </c>
      <c r="AO25" s="18">
        <v>1</v>
      </c>
      <c r="AP25" s="18">
        <v>0</v>
      </c>
      <c r="AQ25" s="18">
        <v>0</v>
      </c>
      <c r="AR25" s="5"/>
      <c r="AS25" s="5"/>
      <c r="AT25" s="5"/>
      <c r="AU25" s="5"/>
      <c r="AV25" s="5"/>
      <c r="AW25" s="5"/>
      <c r="AX25" s="5"/>
      <c r="AY25" s="5"/>
      <c r="AZ25" s="5"/>
      <c r="BA25" s="5"/>
      <c r="BB25" s="5"/>
      <c r="BC25" s="5"/>
      <c r="BD25" s="5"/>
      <c r="BE25" s="5"/>
      <c r="BF25" s="5"/>
      <c r="BJ25" t="s">
        <v>3</v>
      </c>
      <c r="BK25" t="s">
        <v>112</v>
      </c>
      <c r="BL25" s="84">
        <v>1.2</v>
      </c>
      <c r="BM25" s="84">
        <v>1.1000000000000001</v>
      </c>
      <c r="BN25" s="84">
        <v>1.6</v>
      </c>
      <c r="BO25" s="84">
        <v>0.2</v>
      </c>
      <c r="BP25" s="84">
        <v>0.2</v>
      </c>
      <c r="BQ25" s="84">
        <v>0</v>
      </c>
      <c r="BR25" s="84">
        <v>0</v>
      </c>
      <c r="BS25" s="84">
        <v>0</v>
      </c>
      <c r="BT25" s="84">
        <v>0</v>
      </c>
      <c r="BU25" s="84">
        <v>0.5</v>
      </c>
      <c r="BV25" s="84">
        <v>0.3</v>
      </c>
      <c r="BW25" s="84">
        <v>0.4</v>
      </c>
      <c r="BX25" s="84">
        <v>0</v>
      </c>
      <c r="BY25" s="84">
        <v>0</v>
      </c>
      <c r="BZ25" s="84">
        <v>0.3</v>
      </c>
      <c r="CA25" s="5"/>
      <c r="CB25" s="5"/>
      <c r="CC25" s="5"/>
      <c r="CD25" s="5"/>
      <c r="CE25" s="5"/>
      <c r="CF25" s="5"/>
      <c r="CG25" s="5"/>
      <c r="CH25" s="5"/>
      <c r="CI25" s="5"/>
      <c r="CJ25" s="5"/>
      <c r="CK25" s="5"/>
      <c r="CL25" s="5"/>
      <c r="CM25" s="5"/>
      <c r="CN25" s="5"/>
      <c r="CO25" s="5"/>
    </row>
    <row r="26" spans="2:93" x14ac:dyDescent="0.3">
      <c r="B26" t="s">
        <v>132</v>
      </c>
      <c r="C26" s="3" t="s">
        <v>210</v>
      </c>
      <c r="D26" s="132" t="str">
        <f>VLOOKUP(C26,Mapping!$AB$2:$AC$8,2,FALSE)</f>
        <v>Age 0 - 6</v>
      </c>
      <c r="E26" s="132" t="str">
        <f t="shared" si="4"/>
        <v>Campaspe (S)Age 0 - 6</v>
      </c>
      <c r="F26" s="132" t="str">
        <f>INDEX(Mapping!$Y:$Y,MATCH($B26,Mapping!$W:$W,0))</f>
        <v>Rural</v>
      </c>
      <c r="G26" s="45">
        <f t="shared" si="5"/>
        <v>2786</v>
      </c>
      <c r="H26" s="45">
        <f t="shared" si="5"/>
        <v>2674</v>
      </c>
      <c r="I26" s="45">
        <f t="shared" si="5"/>
        <v>2670</v>
      </c>
      <c r="J26" s="5"/>
      <c r="K26" s="5"/>
      <c r="L26" s="5"/>
      <c r="M26" s="5"/>
      <c r="P26" t="s">
        <v>23</v>
      </c>
      <c r="Q26" t="s">
        <v>132</v>
      </c>
      <c r="R26" s="18">
        <v>750</v>
      </c>
      <c r="S26" s="18">
        <v>685</v>
      </c>
      <c r="T26" s="18">
        <v>733</v>
      </c>
      <c r="U26" s="5"/>
      <c r="V26" s="5"/>
      <c r="W26" s="5"/>
      <c r="X26" s="5"/>
      <c r="AA26" t="s">
        <v>23</v>
      </c>
      <c r="AB26" t="s">
        <v>132</v>
      </c>
      <c r="AC26" s="18">
        <v>3</v>
      </c>
      <c r="AD26" s="18">
        <v>2</v>
      </c>
      <c r="AE26" s="18">
        <v>1</v>
      </c>
      <c r="AF26" s="18">
        <v>2</v>
      </c>
      <c r="AG26" s="18">
        <v>0</v>
      </c>
      <c r="AH26" s="18">
        <v>3</v>
      </c>
      <c r="AI26" s="18">
        <v>2</v>
      </c>
      <c r="AJ26" s="18">
        <v>1</v>
      </c>
      <c r="AK26" s="18">
        <v>1</v>
      </c>
      <c r="AL26" s="18">
        <v>1</v>
      </c>
      <c r="AM26" s="18">
        <v>2</v>
      </c>
      <c r="AN26" s="18">
        <v>4</v>
      </c>
      <c r="AO26" s="18">
        <v>1</v>
      </c>
      <c r="AP26" s="18">
        <v>2</v>
      </c>
      <c r="AQ26" s="18">
        <v>0</v>
      </c>
      <c r="AR26" s="5"/>
      <c r="AS26" s="5"/>
      <c r="AT26" s="5"/>
      <c r="AU26" s="5"/>
      <c r="AV26" s="5"/>
      <c r="AW26" s="5"/>
      <c r="AX26" s="5"/>
      <c r="AY26" s="5"/>
      <c r="AZ26" s="5"/>
      <c r="BA26" s="5"/>
      <c r="BB26" s="5"/>
      <c r="BC26" s="5"/>
      <c r="BD26" s="5"/>
      <c r="BE26" s="5"/>
      <c r="BF26" s="5"/>
      <c r="BJ26" t="s">
        <v>3</v>
      </c>
      <c r="BK26" t="s">
        <v>113</v>
      </c>
      <c r="BL26" s="84">
        <v>12.11</v>
      </c>
      <c r="BM26" s="84">
        <v>12.79</v>
      </c>
      <c r="BN26" s="84">
        <v>11.1</v>
      </c>
      <c r="BO26" s="84">
        <v>1</v>
      </c>
      <c r="BP26" s="84">
        <v>1</v>
      </c>
      <c r="BQ26" s="84">
        <v>1</v>
      </c>
      <c r="BR26" s="84">
        <v>0</v>
      </c>
      <c r="BS26" s="84">
        <v>0</v>
      </c>
      <c r="BT26" s="84">
        <v>0</v>
      </c>
      <c r="BU26" s="84">
        <v>0.4</v>
      </c>
      <c r="BV26" s="84">
        <v>0.5</v>
      </c>
      <c r="BW26" s="84">
        <v>0.5</v>
      </c>
      <c r="BX26" s="84">
        <v>0</v>
      </c>
      <c r="BY26" s="84">
        <v>0</v>
      </c>
      <c r="BZ26" s="84">
        <v>0</v>
      </c>
      <c r="CA26" s="5"/>
      <c r="CB26" s="5"/>
      <c r="CC26" s="5"/>
      <c r="CD26" s="5"/>
      <c r="CE26" s="5"/>
      <c r="CF26" s="5"/>
      <c r="CG26" s="5"/>
      <c r="CH26" s="5"/>
      <c r="CI26" s="5"/>
      <c r="CJ26" s="5"/>
      <c r="CK26" s="5"/>
      <c r="CL26" s="5"/>
      <c r="CM26" s="5"/>
      <c r="CN26" s="5"/>
      <c r="CO26" s="5"/>
    </row>
    <row r="27" spans="2:93" x14ac:dyDescent="0.3">
      <c r="B27" t="s">
        <v>150</v>
      </c>
      <c r="C27" s="3" t="s">
        <v>210</v>
      </c>
      <c r="D27" s="132" t="str">
        <f>VLOOKUP(C27,Mapping!$AB$2:$AC$8,2,FALSE)</f>
        <v>Age 0 - 6</v>
      </c>
      <c r="E27" s="132" t="str">
        <f t="shared" si="4"/>
        <v>Cardinia (S)Age 0 - 6</v>
      </c>
      <c r="F27" s="132" t="str">
        <f>INDEX(Mapping!$Y:$Y,MATCH($B27,Mapping!$W:$W,0))</f>
        <v>Interface</v>
      </c>
      <c r="G27" s="45">
        <f t="shared" si="5"/>
        <v>10461</v>
      </c>
      <c r="H27" s="45">
        <f t="shared" si="5"/>
        <v>9794</v>
      </c>
      <c r="I27" s="45">
        <f t="shared" si="5"/>
        <v>10019</v>
      </c>
      <c r="J27" s="5"/>
      <c r="K27" s="5"/>
      <c r="L27" s="5"/>
      <c r="M27" s="5"/>
      <c r="P27" t="s">
        <v>41</v>
      </c>
      <c r="Q27" t="s">
        <v>150</v>
      </c>
      <c r="R27" s="18">
        <v>1927</v>
      </c>
      <c r="S27" s="18">
        <v>1930</v>
      </c>
      <c r="T27" s="18">
        <v>2171</v>
      </c>
      <c r="U27" s="5"/>
      <c r="V27" s="5"/>
      <c r="W27" s="5"/>
      <c r="X27" s="5"/>
      <c r="AA27" t="s">
        <v>41</v>
      </c>
      <c r="AB27" t="s">
        <v>150</v>
      </c>
      <c r="AC27" s="18">
        <v>11</v>
      </c>
      <c r="AD27" s="18">
        <v>1</v>
      </c>
      <c r="AE27" s="18">
        <v>5</v>
      </c>
      <c r="AF27" s="18">
        <v>3</v>
      </c>
      <c r="AG27" s="18">
        <v>5</v>
      </c>
      <c r="AH27" s="18">
        <v>13</v>
      </c>
      <c r="AI27" s="18">
        <v>2</v>
      </c>
      <c r="AJ27" s="18">
        <v>6</v>
      </c>
      <c r="AK27" s="18">
        <v>1</v>
      </c>
      <c r="AL27" s="18">
        <v>3</v>
      </c>
      <c r="AM27" s="18">
        <v>9</v>
      </c>
      <c r="AN27" s="18">
        <v>3</v>
      </c>
      <c r="AO27" s="18">
        <v>5</v>
      </c>
      <c r="AP27" s="18">
        <v>1</v>
      </c>
      <c r="AQ27" s="18">
        <v>2</v>
      </c>
      <c r="AR27" s="5"/>
      <c r="AS27" s="5"/>
      <c r="AT27" s="5"/>
      <c r="AU27" s="5"/>
      <c r="AV27" s="5"/>
      <c r="AW27" s="5"/>
      <c r="AX27" s="5"/>
      <c r="AY27" s="5"/>
      <c r="AZ27" s="5"/>
      <c r="BA27" s="5"/>
      <c r="BB27" s="5"/>
      <c r="BC27" s="5"/>
      <c r="BD27" s="5"/>
      <c r="BE27" s="5"/>
      <c r="BF27" s="5"/>
      <c r="BJ27" t="s">
        <v>56</v>
      </c>
      <c r="BK27" t="s">
        <v>165</v>
      </c>
      <c r="BL27" s="84">
        <v>3</v>
      </c>
      <c r="BM27" s="84">
        <v>17.5</v>
      </c>
      <c r="BN27" s="84">
        <v>20.239999999999998</v>
      </c>
      <c r="BO27" s="84">
        <v>1</v>
      </c>
      <c r="BP27" s="84">
        <v>1</v>
      </c>
      <c r="BQ27" s="84">
        <v>1.84</v>
      </c>
      <c r="BR27" s="84">
        <v>1</v>
      </c>
      <c r="BS27" s="84">
        <v>1</v>
      </c>
      <c r="BT27" s="84">
        <v>1</v>
      </c>
      <c r="BU27" s="84">
        <v>1</v>
      </c>
      <c r="BV27" s="84">
        <v>2.4</v>
      </c>
      <c r="BW27" s="84">
        <v>2.4</v>
      </c>
      <c r="BX27" s="84">
        <v>1</v>
      </c>
      <c r="BY27" s="84">
        <v>2.6</v>
      </c>
      <c r="BZ27" s="84">
        <v>2.6</v>
      </c>
      <c r="CA27" s="5"/>
      <c r="CB27" s="5"/>
      <c r="CC27" s="5"/>
      <c r="CD27" s="5"/>
      <c r="CE27" s="5"/>
      <c r="CF27" s="5"/>
      <c r="CG27" s="5"/>
      <c r="CH27" s="5"/>
      <c r="CI27" s="5"/>
      <c r="CJ27" s="5"/>
      <c r="CK27" s="5"/>
      <c r="CL27" s="5"/>
      <c r="CM27" s="5"/>
      <c r="CN27" s="5"/>
      <c r="CO27" s="5"/>
    </row>
    <row r="28" spans="2:93" x14ac:dyDescent="0.3">
      <c r="B28" t="s">
        <v>151</v>
      </c>
      <c r="C28" s="3" t="s">
        <v>210</v>
      </c>
      <c r="D28" s="132" t="str">
        <f>VLOOKUP(C28,Mapping!$AB$2:$AC$8,2,FALSE)</f>
        <v>Age 0 - 6</v>
      </c>
      <c r="E28" s="132" t="str">
        <f t="shared" si="4"/>
        <v>Casey (C)Age 0 - 6</v>
      </c>
      <c r="F28" s="132" t="str">
        <f>INDEX(Mapping!$Y:$Y,MATCH($B28,Mapping!$W:$W,0))</f>
        <v>Interface</v>
      </c>
      <c r="G28" s="45">
        <f t="shared" si="5"/>
        <v>28089</v>
      </c>
      <c r="H28" s="45">
        <f t="shared" si="5"/>
        <v>29633</v>
      </c>
      <c r="I28" s="45">
        <f t="shared" si="5"/>
        <v>30878</v>
      </c>
      <c r="J28" s="5"/>
      <c r="K28" s="5"/>
      <c r="L28" s="5"/>
      <c r="M28" s="5"/>
      <c r="P28" t="s">
        <v>41</v>
      </c>
      <c r="Q28" t="s">
        <v>151</v>
      </c>
      <c r="R28" s="18">
        <v>6658</v>
      </c>
      <c r="S28" s="18">
        <v>6647</v>
      </c>
      <c r="T28" s="18">
        <v>7668</v>
      </c>
      <c r="U28" s="5"/>
      <c r="V28" s="5"/>
      <c r="W28" s="5"/>
      <c r="X28" s="5"/>
      <c r="AA28" t="s">
        <v>41</v>
      </c>
      <c r="AB28" t="s">
        <v>151</v>
      </c>
      <c r="AC28" s="18">
        <v>7</v>
      </c>
      <c r="AD28" s="18">
        <v>11</v>
      </c>
      <c r="AE28" s="18">
        <v>12</v>
      </c>
      <c r="AF28" s="18">
        <v>6</v>
      </c>
      <c r="AG28" s="18">
        <v>14</v>
      </c>
      <c r="AH28" s="18">
        <v>9</v>
      </c>
      <c r="AI28" s="18">
        <v>11</v>
      </c>
      <c r="AJ28" s="18">
        <v>12</v>
      </c>
      <c r="AK28" s="18">
        <v>6</v>
      </c>
      <c r="AL28" s="18">
        <v>14</v>
      </c>
      <c r="AM28" s="18">
        <v>8</v>
      </c>
      <c r="AN28" s="18">
        <v>6</v>
      </c>
      <c r="AO28" s="18">
        <v>12</v>
      </c>
      <c r="AP28" s="18">
        <v>9</v>
      </c>
      <c r="AQ28" s="18">
        <v>16</v>
      </c>
      <c r="AR28" s="5"/>
      <c r="AS28" s="5"/>
      <c r="AT28" s="5"/>
      <c r="AU28" s="5"/>
      <c r="AV28" s="5"/>
      <c r="AW28" s="5"/>
      <c r="AX28" s="5"/>
      <c r="AY28" s="5"/>
      <c r="AZ28" s="5"/>
      <c r="BA28" s="5"/>
      <c r="BB28" s="5"/>
      <c r="BC28" s="5"/>
      <c r="BD28" s="5"/>
      <c r="BE28" s="5"/>
      <c r="BF28" s="5"/>
      <c r="BJ28" t="s">
        <v>23</v>
      </c>
      <c r="BK28" t="s">
        <v>131</v>
      </c>
      <c r="BL28" s="84">
        <v>1.3</v>
      </c>
      <c r="BM28" s="84">
        <v>1</v>
      </c>
      <c r="BN28" s="84">
        <v>1</v>
      </c>
      <c r="BO28" s="84">
        <v>0.8</v>
      </c>
      <c r="BP28" s="84">
        <v>0</v>
      </c>
      <c r="BQ28" s="84">
        <v>0.2</v>
      </c>
      <c r="BR28" s="84">
        <v>0</v>
      </c>
      <c r="BS28" s="84">
        <v>0.2</v>
      </c>
      <c r="BT28" s="84">
        <v>0.2</v>
      </c>
      <c r="BU28" s="84">
        <v>1.3</v>
      </c>
      <c r="BV28" s="84">
        <v>1</v>
      </c>
      <c r="BW28" s="84">
        <v>1</v>
      </c>
      <c r="BX28" s="84">
        <v>0</v>
      </c>
      <c r="BY28" s="84">
        <v>0</v>
      </c>
      <c r="BZ28" s="84">
        <v>0</v>
      </c>
      <c r="CA28" s="5"/>
      <c r="CB28" s="5"/>
      <c r="CC28" s="5"/>
      <c r="CD28" s="5"/>
      <c r="CE28" s="5"/>
      <c r="CF28" s="5"/>
      <c r="CG28" s="5"/>
      <c r="CH28" s="5"/>
      <c r="CI28" s="5"/>
      <c r="CJ28" s="5"/>
      <c r="CK28" s="5"/>
      <c r="CL28" s="5"/>
      <c r="CM28" s="5"/>
      <c r="CN28" s="5"/>
      <c r="CO28" s="5"/>
    </row>
    <row r="29" spans="2:93" x14ac:dyDescent="0.3">
      <c r="B29" t="s">
        <v>133</v>
      </c>
      <c r="C29" s="3" t="s">
        <v>210</v>
      </c>
      <c r="D29" s="132" t="str">
        <f>VLOOKUP(C29,Mapping!$AB$2:$AC$8,2,FALSE)</f>
        <v>Age 0 - 6</v>
      </c>
      <c r="E29" s="132" t="str">
        <f t="shared" si="4"/>
        <v>Central Goldfields (S)Age 0 - 6</v>
      </c>
      <c r="F29" s="132" t="str">
        <f>INDEX(Mapping!$Y:$Y,MATCH($B29,Mapping!$W:$W,0))</f>
        <v>Rural</v>
      </c>
      <c r="G29" s="45">
        <f t="shared" si="5"/>
        <v>923</v>
      </c>
      <c r="H29" s="45">
        <f t="shared" si="5"/>
        <v>879</v>
      </c>
      <c r="I29" s="45">
        <f t="shared" si="5"/>
        <v>781</v>
      </c>
      <c r="J29" s="5"/>
      <c r="K29" s="5"/>
      <c r="L29" s="5"/>
      <c r="M29" s="5"/>
      <c r="P29" t="s">
        <v>23</v>
      </c>
      <c r="Q29" t="s">
        <v>133</v>
      </c>
      <c r="R29" s="18">
        <v>319</v>
      </c>
      <c r="S29" s="18">
        <v>301</v>
      </c>
      <c r="T29" s="18">
        <v>327</v>
      </c>
      <c r="U29" s="5"/>
      <c r="V29" s="5"/>
      <c r="W29" s="5"/>
      <c r="X29" s="5"/>
      <c r="AA29" t="s">
        <v>23</v>
      </c>
      <c r="AB29" t="s">
        <v>133</v>
      </c>
      <c r="AC29" s="18">
        <v>1</v>
      </c>
      <c r="AD29" s="18">
        <v>1</v>
      </c>
      <c r="AE29" s="18">
        <v>1</v>
      </c>
      <c r="AF29" s="18">
        <v>0</v>
      </c>
      <c r="AG29" s="18">
        <v>0</v>
      </c>
      <c r="AH29" s="18">
        <v>1</v>
      </c>
      <c r="AI29" s="18">
        <v>0</v>
      </c>
      <c r="AJ29" s="18">
        <v>1</v>
      </c>
      <c r="AK29" s="18">
        <v>1</v>
      </c>
      <c r="AL29" s="18">
        <v>1</v>
      </c>
      <c r="AM29" s="18">
        <v>1</v>
      </c>
      <c r="AN29" s="18">
        <v>0</v>
      </c>
      <c r="AO29" s="18">
        <v>1</v>
      </c>
      <c r="AP29" s="18">
        <v>2</v>
      </c>
      <c r="AQ29" s="18">
        <v>0</v>
      </c>
      <c r="AR29" s="5"/>
      <c r="AS29" s="5"/>
      <c r="AT29" s="5"/>
      <c r="AU29" s="5"/>
      <c r="AV29" s="5"/>
      <c r="AW29" s="5"/>
      <c r="AX29" s="5"/>
      <c r="AY29" s="5"/>
      <c r="AZ29" s="5"/>
      <c r="BA29" s="5"/>
      <c r="BB29" s="5"/>
      <c r="BC29" s="5"/>
      <c r="BD29" s="5"/>
      <c r="BE29" s="5"/>
      <c r="BF29" s="5"/>
      <c r="BJ29" t="s">
        <v>23</v>
      </c>
      <c r="BK29" t="s">
        <v>132</v>
      </c>
      <c r="BL29" s="84">
        <v>3.75</v>
      </c>
      <c r="BM29" s="84">
        <v>3.75</v>
      </c>
      <c r="BN29" s="84">
        <v>3.13</v>
      </c>
      <c r="BO29" s="84">
        <v>0</v>
      </c>
      <c r="BP29" s="84">
        <v>0</v>
      </c>
      <c r="BQ29" s="84">
        <v>0</v>
      </c>
      <c r="BR29" s="84">
        <v>0</v>
      </c>
      <c r="BS29" s="84">
        <v>0.5</v>
      </c>
      <c r="BT29" s="84">
        <v>0.3</v>
      </c>
      <c r="BU29" s="84">
        <v>0</v>
      </c>
      <c r="BV29" s="84">
        <v>0</v>
      </c>
      <c r="BW29" s="84">
        <v>1.1000000000000001</v>
      </c>
      <c r="BX29" s="84">
        <v>0</v>
      </c>
      <c r="BY29" s="84">
        <v>0</v>
      </c>
      <c r="BZ29" s="84">
        <v>0</v>
      </c>
      <c r="CA29" s="5"/>
      <c r="CB29" s="5"/>
      <c r="CC29" s="5"/>
      <c r="CD29" s="5"/>
      <c r="CE29" s="5"/>
      <c r="CF29" s="5"/>
      <c r="CG29" s="5"/>
      <c r="CH29" s="5"/>
      <c r="CI29" s="5"/>
      <c r="CJ29" s="5"/>
      <c r="CK29" s="5"/>
      <c r="CL29" s="5"/>
      <c r="CM29" s="5"/>
      <c r="CN29" s="5"/>
      <c r="CO29" s="5"/>
    </row>
    <row r="30" spans="2:93" x14ac:dyDescent="0.3">
      <c r="B30" t="s">
        <v>166</v>
      </c>
      <c r="C30" s="3" t="s">
        <v>210</v>
      </c>
      <c r="D30" s="132" t="str">
        <f>VLOOKUP(C30,Mapping!$AB$2:$AC$8,2,FALSE)</f>
        <v>Age 0 - 6</v>
      </c>
      <c r="E30" s="132" t="str">
        <f t="shared" si="4"/>
        <v>Colac-Otway (S)Age 0 - 6</v>
      </c>
      <c r="F30" s="132" t="str">
        <f>INDEX(Mapping!$Y:$Y,MATCH($B30,Mapping!$W:$W,0))</f>
        <v>Rural</v>
      </c>
      <c r="G30" s="45">
        <f t="shared" si="5"/>
        <v>1582</v>
      </c>
      <c r="H30" s="45">
        <f t="shared" si="5"/>
        <v>1548</v>
      </c>
      <c r="I30" s="45">
        <f t="shared" si="5"/>
        <v>1478</v>
      </c>
      <c r="J30" s="5"/>
      <c r="K30" s="5"/>
      <c r="L30" s="5"/>
      <c r="M30" s="5"/>
      <c r="P30" t="s">
        <v>56</v>
      </c>
      <c r="Q30" t="s">
        <v>166</v>
      </c>
      <c r="R30" s="18">
        <v>377</v>
      </c>
      <c r="S30" s="18">
        <v>317</v>
      </c>
      <c r="T30" s="18">
        <v>346</v>
      </c>
      <c r="U30" s="5"/>
      <c r="V30" s="5"/>
      <c r="W30" s="5"/>
      <c r="X30" s="5"/>
      <c r="AA30" t="s">
        <v>56</v>
      </c>
      <c r="AB30" t="s">
        <v>166</v>
      </c>
      <c r="AC30" s="18">
        <v>0</v>
      </c>
      <c r="AD30" s="18">
        <v>1</v>
      </c>
      <c r="AE30" s="18">
        <v>1</v>
      </c>
      <c r="AF30" s="18">
        <v>1</v>
      </c>
      <c r="AG30" s="18">
        <v>0</v>
      </c>
      <c r="AH30" s="18">
        <v>0</v>
      </c>
      <c r="AI30" s="18">
        <v>0</v>
      </c>
      <c r="AJ30" s="18">
        <v>2</v>
      </c>
      <c r="AK30" s="18">
        <v>1</v>
      </c>
      <c r="AL30" s="18">
        <v>0</v>
      </c>
      <c r="AM30" s="18">
        <v>0</v>
      </c>
      <c r="AN30" s="18">
        <v>0</v>
      </c>
      <c r="AO30" s="18">
        <v>1</v>
      </c>
      <c r="AP30" s="18">
        <v>2</v>
      </c>
      <c r="AQ30" s="18">
        <v>0</v>
      </c>
      <c r="AR30" s="5"/>
      <c r="AS30" s="5"/>
      <c r="AT30" s="5"/>
      <c r="AU30" s="5"/>
      <c r="AV30" s="5"/>
      <c r="AW30" s="5"/>
      <c r="AX30" s="5"/>
      <c r="AY30" s="5"/>
      <c r="AZ30" s="5"/>
      <c r="BA30" s="5"/>
      <c r="BB30" s="5"/>
      <c r="BC30" s="5"/>
      <c r="BD30" s="5"/>
      <c r="BE30" s="5"/>
      <c r="BF30" s="5"/>
      <c r="BJ30" t="s">
        <v>41</v>
      </c>
      <c r="BK30" t="s">
        <v>150</v>
      </c>
      <c r="BL30" s="84">
        <v>10.4</v>
      </c>
      <c r="BM30" s="84">
        <v>10.5</v>
      </c>
      <c r="BN30" s="84">
        <v>10.5</v>
      </c>
      <c r="BO30" s="84">
        <v>1.8</v>
      </c>
      <c r="BP30" s="84">
        <v>0.8</v>
      </c>
      <c r="BQ30" s="84">
        <v>0</v>
      </c>
      <c r="BR30" s="84">
        <v>0.6</v>
      </c>
      <c r="BS30" s="84">
        <v>1</v>
      </c>
      <c r="BT30" s="84">
        <v>1</v>
      </c>
      <c r="BU30" s="84">
        <v>1.2</v>
      </c>
      <c r="BV30" s="84">
        <v>1.3</v>
      </c>
      <c r="BW30" s="84">
        <v>1.2</v>
      </c>
      <c r="BX30" s="84">
        <v>1.5</v>
      </c>
      <c r="BY30" s="84">
        <v>0.9</v>
      </c>
      <c r="BZ30" s="84">
        <v>1.3</v>
      </c>
      <c r="CA30" s="5"/>
      <c r="CB30" s="5"/>
      <c r="CC30" s="5"/>
      <c r="CD30" s="5"/>
      <c r="CE30" s="5"/>
      <c r="CF30" s="5"/>
      <c r="CG30" s="5"/>
      <c r="CH30" s="5"/>
      <c r="CI30" s="5"/>
      <c r="CJ30" s="5"/>
      <c r="CK30" s="5"/>
      <c r="CL30" s="5"/>
      <c r="CM30" s="5"/>
      <c r="CN30" s="5"/>
      <c r="CO30" s="5"/>
    </row>
    <row r="31" spans="2:93" x14ac:dyDescent="0.3">
      <c r="B31" t="s">
        <v>167</v>
      </c>
      <c r="C31" s="3" t="s">
        <v>210</v>
      </c>
      <c r="D31" s="132" t="str">
        <f>VLOOKUP(C31,Mapping!$AB$2:$AC$8,2,FALSE)</f>
        <v>Age 0 - 6</v>
      </c>
      <c r="E31" s="132" t="str">
        <f t="shared" si="4"/>
        <v>Corangamite (S)Age 0 - 6</v>
      </c>
      <c r="F31" s="132" t="str">
        <f>INDEX(Mapping!$Y:$Y,MATCH($B31,Mapping!$W:$W,0))</f>
        <v>Rural</v>
      </c>
      <c r="G31" s="45">
        <f t="shared" si="5"/>
        <v>1160</v>
      </c>
      <c r="H31" s="45">
        <f t="shared" si="5"/>
        <v>1032</v>
      </c>
      <c r="I31" s="45">
        <f t="shared" si="5"/>
        <v>904</v>
      </c>
      <c r="J31" s="5"/>
      <c r="K31" s="5"/>
      <c r="L31" s="5"/>
      <c r="M31" s="5"/>
      <c r="P31" t="s">
        <v>56</v>
      </c>
      <c r="Q31" t="s">
        <v>167</v>
      </c>
      <c r="R31" s="18">
        <v>271</v>
      </c>
      <c r="S31" s="18">
        <v>259</v>
      </c>
      <c r="T31" s="18">
        <v>282</v>
      </c>
      <c r="U31" s="5"/>
      <c r="V31" s="5"/>
      <c r="W31" s="5"/>
      <c r="X31" s="5"/>
      <c r="AA31" t="s">
        <v>56</v>
      </c>
      <c r="AB31" t="s">
        <v>167</v>
      </c>
      <c r="AC31" s="18">
        <v>3</v>
      </c>
      <c r="AD31" s="18">
        <v>0</v>
      </c>
      <c r="AE31" s="18">
        <v>2</v>
      </c>
      <c r="AF31" s="18">
        <v>0</v>
      </c>
      <c r="AG31" s="18">
        <v>3</v>
      </c>
      <c r="AH31" s="18">
        <v>1</v>
      </c>
      <c r="AI31" s="18">
        <v>0</v>
      </c>
      <c r="AJ31" s="18">
        <v>2</v>
      </c>
      <c r="AK31" s="18">
        <v>0</v>
      </c>
      <c r="AL31" s="18">
        <v>1</v>
      </c>
      <c r="AM31" s="18">
        <v>2</v>
      </c>
      <c r="AN31" s="18">
        <v>0</v>
      </c>
      <c r="AO31" s="18">
        <v>2</v>
      </c>
      <c r="AP31" s="18">
        <v>0</v>
      </c>
      <c r="AQ31" s="18">
        <v>2</v>
      </c>
      <c r="AR31" s="5"/>
      <c r="AS31" s="5"/>
      <c r="AT31" s="5"/>
      <c r="AU31" s="5"/>
      <c r="AV31" s="5"/>
      <c r="AW31" s="5"/>
      <c r="AX31" s="5"/>
      <c r="AY31" s="5"/>
      <c r="AZ31" s="5"/>
      <c r="BA31" s="5"/>
      <c r="BB31" s="5"/>
      <c r="BC31" s="5"/>
      <c r="BD31" s="5"/>
      <c r="BE31" s="5"/>
      <c r="BF31" s="5"/>
      <c r="BJ31" t="s">
        <v>41</v>
      </c>
      <c r="BK31" t="s">
        <v>151</v>
      </c>
      <c r="BL31" s="84">
        <v>31.11</v>
      </c>
      <c r="BM31" s="84">
        <v>29.03</v>
      </c>
      <c r="BN31" s="84">
        <v>31.73</v>
      </c>
      <c r="BO31" s="84">
        <v>3.88</v>
      </c>
      <c r="BP31" s="84">
        <v>3.84</v>
      </c>
      <c r="BQ31" s="84">
        <v>1</v>
      </c>
      <c r="BR31" s="84">
        <v>1</v>
      </c>
      <c r="BS31" s="84">
        <v>1</v>
      </c>
      <c r="BT31" s="84">
        <v>0</v>
      </c>
      <c r="BU31" s="84">
        <v>2.6</v>
      </c>
      <c r="BV31" s="84">
        <v>2.6</v>
      </c>
      <c r="BW31" s="84">
        <v>3.6</v>
      </c>
      <c r="BX31" s="84">
        <v>5.39</v>
      </c>
      <c r="BY31" s="84">
        <v>5.79</v>
      </c>
      <c r="BZ31" s="84">
        <v>3.4</v>
      </c>
      <c r="CA31" s="5"/>
      <c r="CB31" s="5"/>
      <c r="CC31" s="5"/>
      <c r="CD31" s="5"/>
      <c r="CE31" s="5"/>
      <c r="CF31" s="5"/>
      <c r="CG31" s="5"/>
      <c r="CH31" s="5"/>
      <c r="CI31" s="5"/>
      <c r="CJ31" s="5"/>
      <c r="CK31" s="5"/>
      <c r="CL31" s="5"/>
      <c r="CM31" s="5"/>
      <c r="CN31" s="5"/>
      <c r="CO31" s="5"/>
    </row>
    <row r="32" spans="2:93" x14ac:dyDescent="0.3">
      <c r="B32" t="s">
        <v>134</v>
      </c>
      <c r="C32" s="3" t="s">
        <v>210</v>
      </c>
      <c r="D32" s="132" t="str">
        <f>VLOOKUP(C32,Mapping!$AB$2:$AC$8,2,FALSE)</f>
        <v>Age 0 - 6</v>
      </c>
      <c r="E32" s="132" t="str">
        <f t="shared" si="4"/>
        <v>Darebin (C)Age 0 - 6</v>
      </c>
      <c r="F32" s="132" t="str">
        <f>INDEX(Mapping!$Y:$Y,MATCH($B32,Mapping!$W:$W,0))</f>
        <v>Metro</v>
      </c>
      <c r="G32" s="45">
        <f t="shared" si="5"/>
        <v>10748</v>
      </c>
      <c r="H32" s="45">
        <f t="shared" si="5"/>
        <v>9961</v>
      </c>
      <c r="I32" s="45">
        <f t="shared" si="5"/>
        <v>9558</v>
      </c>
      <c r="J32" s="5"/>
      <c r="K32" s="5"/>
      <c r="L32" s="5"/>
      <c r="M32" s="5"/>
      <c r="P32" t="s">
        <v>23</v>
      </c>
      <c r="Q32" t="s">
        <v>134</v>
      </c>
      <c r="R32" s="18">
        <v>1910</v>
      </c>
      <c r="S32" s="18">
        <v>1636</v>
      </c>
      <c r="T32" s="18">
        <v>1805</v>
      </c>
      <c r="U32" s="5"/>
      <c r="V32" s="5"/>
      <c r="W32" s="5"/>
      <c r="X32" s="5"/>
      <c r="AA32" t="s">
        <v>23</v>
      </c>
      <c r="AB32" t="s">
        <v>134</v>
      </c>
      <c r="AC32" s="18">
        <v>4</v>
      </c>
      <c r="AD32" s="18">
        <v>4</v>
      </c>
      <c r="AE32" s="18">
        <v>5</v>
      </c>
      <c r="AF32" s="18">
        <v>6</v>
      </c>
      <c r="AG32" s="18">
        <v>7</v>
      </c>
      <c r="AH32" s="18">
        <v>3</v>
      </c>
      <c r="AI32" s="18">
        <v>4</v>
      </c>
      <c r="AJ32" s="18">
        <v>4</v>
      </c>
      <c r="AK32" s="18">
        <v>2</v>
      </c>
      <c r="AL32" s="18">
        <v>8</v>
      </c>
      <c r="AM32" s="18">
        <v>2</v>
      </c>
      <c r="AN32" s="18">
        <v>5</v>
      </c>
      <c r="AO32" s="18">
        <v>7</v>
      </c>
      <c r="AP32" s="18">
        <v>2</v>
      </c>
      <c r="AQ32" s="18">
        <v>6</v>
      </c>
      <c r="AR32" s="5"/>
      <c r="AS32" s="5"/>
      <c r="AT32" s="5"/>
      <c r="AU32" s="5"/>
      <c r="AV32" s="5"/>
      <c r="AW32" s="5"/>
      <c r="AX32" s="5"/>
      <c r="AY32" s="5"/>
      <c r="AZ32" s="5"/>
      <c r="BA32" s="5"/>
      <c r="BB32" s="5"/>
      <c r="BC32" s="5"/>
      <c r="BD32" s="5"/>
      <c r="BE32" s="5"/>
      <c r="BF32" s="5"/>
      <c r="BJ32" t="s">
        <v>23</v>
      </c>
      <c r="BK32" t="s">
        <v>133</v>
      </c>
      <c r="BL32" s="84">
        <v>1.4</v>
      </c>
      <c r="BM32" s="84">
        <v>1.7</v>
      </c>
      <c r="BN32" s="84">
        <v>0.6</v>
      </c>
      <c r="BO32" s="84">
        <v>0</v>
      </c>
      <c r="BP32" s="84">
        <v>0.2</v>
      </c>
      <c r="BQ32" s="84">
        <v>0.6</v>
      </c>
      <c r="BR32" s="84">
        <v>0</v>
      </c>
      <c r="BS32" s="84">
        <v>0</v>
      </c>
      <c r="BT32" s="84">
        <v>0</v>
      </c>
      <c r="BU32" s="84">
        <v>0</v>
      </c>
      <c r="BV32" s="84">
        <v>0</v>
      </c>
      <c r="BW32" s="84">
        <v>0.6</v>
      </c>
      <c r="BX32" s="84">
        <v>0</v>
      </c>
      <c r="BY32" s="84">
        <v>0</v>
      </c>
      <c r="BZ32" s="84">
        <v>0</v>
      </c>
      <c r="CA32" s="5"/>
      <c r="CB32" s="5"/>
      <c r="CC32" s="5"/>
      <c r="CD32" s="5"/>
      <c r="CE32" s="5"/>
      <c r="CF32" s="5"/>
      <c r="CG32" s="5"/>
      <c r="CH32" s="5"/>
      <c r="CI32" s="5"/>
      <c r="CJ32" s="5"/>
      <c r="CK32" s="5"/>
      <c r="CL32" s="5"/>
      <c r="CM32" s="5"/>
      <c r="CN32" s="5"/>
      <c r="CO32" s="5"/>
    </row>
    <row r="33" spans="2:93" x14ac:dyDescent="0.3">
      <c r="B33" t="s">
        <v>152</v>
      </c>
      <c r="C33" s="3" t="s">
        <v>210</v>
      </c>
      <c r="D33" s="132" t="str">
        <f>VLOOKUP(C33,Mapping!$AB$2:$AC$8,2,FALSE)</f>
        <v>Age 0 - 6</v>
      </c>
      <c r="E33" s="132" t="str">
        <f t="shared" si="4"/>
        <v>East Gippsland (S)Age 0 - 6</v>
      </c>
      <c r="F33" s="132" t="str">
        <f>INDEX(Mapping!$Y:$Y,MATCH($B33,Mapping!$W:$W,0))</f>
        <v>Rural</v>
      </c>
      <c r="G33" s="45">
        <f t="shared" si="5"/>
        <v>2926</v>
      </c>
      <c r="H33" s="45">
        <f t="shared" si="5"/>
        <v>2807</v>
      </c>
      <c r="I33" s="45">
        <f t="shared" si="5"/>
        <v>2834</v>
      </c>
      <c r="J33" s="5"/>
      <c r="K33" s="5"/>
      <c r="L33" s="5"/>
      <c r="M33" s="5"/>
      <c r="P33" t="s">
        <v>41</v>
      </c>
      <c r="Q33" t="s">
        <v>152</v>
      </c>
      <c r="R33" s="18">
        <v>916</v>
      </c>
      <c r="S33" s="18">
        <v>823</v>
      </c>
      <c r="T33" s="18">
        <v>907</v>
      </c>
      <c r="U33" s="5"/>
      <c r="V33" s="5"/>
      <c r="W33" s="5"/>
      <c r="X33" s="5"/>
      <c r="AA33" t="s">
        <v>41</v>
      </c>
      <c r="AB33" t="s">
        <v>152</v>
      </c>
      <c r="AC33" s="18">
        <v>0</v>
      </c>
      <c r="AD33" s="18">
        <v>1</v>
      </c>
      <c r="AE33" s="18">
        <v>1</v>
      </c>
      <c r="AF33" s="18">
        <v>6</v>
      </c>
      <c r="AG33" s="18">
        <v>1</v>
      </c>
      <c r="AH33" s="18">
        <v>0</v>
      </c>
      <c r="AI33" s="18">
        <v>1</v>
      </c>
      <c r="AJ33" s="18">
        <v>1</v>
      </c>
      <c r="AK33" s="18">
        <v>6</v>
      </c>
      <c r="AL33" s="18">
        <v>1</v>
      </c>
      <c r="AM33" s="18">
        <v>0</v>
      </c>
      <c r="AN33" s="18">
        <v>0</v>
      </c>
      <c r="AO33" s="18">
        <v>2</v>
      </c>
      <c r="AP33" s="18">
        <v>4</v>
      </c>
      <c r="AQ33" s="18">
        <v>4</v>
      </c>
      <c r="AR33" s="5"/>
      <c r="AS33" s="5"/>
      <c r="AT33" s="5"/>
      <c r="AU33" s="5"/>
      <c r="AV33" s="5"/>
      <c r="AW33" s="5"/>
      <c r="AX33" s="5"/>
      <c r="AY33" s="5"/>
      <c r="AZ33" s="5"/>
      <c r="BA33" s="5"/>
      <c r="BB33" s="5"/>
      <c r="BC33" s="5"/>
      <c r="BD33" s="5"/>
      <c r="BE33" s="5"/>
      <c r="BF33" s="5"/>
      <c r="BJ33" t="s">
        <v>56</v>
      </c>
      <c r="BK33" t="s">
        <v>166</v>
      </c>
      <c r="BL33" s="84">
        <v>1.5</v>
      </c>
      <c r="BM33" s="84">
        <v>1.5</v>
      </c>
      <c r="BN33" s="84">
        <v>1.5</v>
      </c>
      <c r="BO33" s="84">
        <v>1</v>
      </c>
      <c r="BP33" s="84">
        <v>1</v>
      </c>
      <c r="BQ33" s="84">
        <v>1</v>
      </c>
      <c r="BR33" s="84">
        <v>0</v>
      </c>
      <c r="BS33" s="84">
        <v>0</v>
      </c>
      <c r="BT33" s="84">
        <v>0</v>
      </c>
      <c r="BU33" s="84">
        <v>0</v>
      </c>
      <c r="BV33" s="84">
        <v>0</v>
      </c>
      <c r="BW33" s="84">
        <v>0</v>
      </c>
      <c r="BX33" s="84">
        <v>0</v>
      </c>
      <c r="BY33" s="84">
        <v>0</v>
      </c>
      <c r="BZ33" s="84">
        <v>0</v>
      </c>
      <c r="CA33" s="5"/>
      <c r="CB33" s="5"/>
      <c r="CC33" s="5"/>
      <c r="CD33" s="5"/>
      <c r="CE33" s="5"/>
      <c r="CF33" s="5"/>
      <c r="CG33" s="5"/>
      <c r="CH33" s="5"/>
      <c r="CI33" s="5"/>
      <c r="CJ33" s="5"/>
      <c r="CK33" s="5"/>
      <c r="CL33" s="5"/>
      <c r="CM33" s="5"/>
      <c r="CN33" s="5"/>
      <c r="CO33" s="5"/>
    </row>
    <row r="34" spans="2:93" x14ac:dyDescent="0.3">
      <c r="B34" t="s">
        <v>153</v>
      </c>
      <c r="C34" s="3" t="s">
        <v>210</v>
      </c>
      <c r="D34" s="132" t="str">
        <f>VLOOKUP(C34,Mapping!$AB$2:$AC$8,2,FALSE)</f>
        <v>Age 0 - 6</v>
      </c>
      <c r="E34" s="132" t="str">
        <f t="shared" si="4"/>
        <v>Frankston (C)Age 0 - 6</v>
      </c>
      <c r="F34" s="132" t="str">
        <f>INDEX(Mapping!$Y:$Y,MATCH($B34,Mapping!$W:$W,0))</f>
        <v>Metro</v>
      </c>
      <c r="G34" s="45">
        <f t="shared" si="5"/>
        <v>13246</v>
      </c>
      <c r="H34" s="45">
        <f t="shared" si="5"/>
        <v>12116</v>
      </c>
      <c r="I34" s="45">
        <f t="shared" si="5"/>
        <v>11808</v>
      </c>
      <c r="J34" s="5"/>
      <c r="K34" s="5"/>
      <c r="L34" s="5"/>
      <c r="M34" s="5"/>
      <c r="P34" t="s">
        <v>41</v>
      </c>
      <c r="Q34" t="s">
        <v>153</v>
      </c>
      <c r="R34" s="18">
        <v>2942</v>
      </c>
      <c r="S34" s="18">
        <v>2595</v>
      </c>
      <c r="T34" s="18">
        <v>2638</v>
      </c>
      <c r="U34" s="5"/>
      <c r="V34" s="5"/>
      <c r="W34" s="5"/>
      <c r="X34" s="5"/>
      <c r="AA34" t="s">
        <v>41</v>
      </c>
      <c r="AB34" t="s">
        <v>153</v>
      </c>
      <c r="AC34" s="18">
        <v>5</v>
      </c>
      <c r="AD34" s="18">
        <v>8</v>
      </c>
      <c r="AE34" s="18">
        <v>9</v>
      </c>
      <c r="AF34" s="18">
        <v>2</v>
      </c>
      <c r="AG34" s="18">
        <v>4</v>
      </c>
      <c r="AH34" s="18">
        <v>8</v>
      </c>
      <c r="AI34" s="18">
        <v>3</v>
      </c>
      <c r="AJ34" s="18">
        <v>9</v>
      </c>
      <c r="AK34" s="18">
        <v>4</v>
      </c>
      <c r="AL34" s="18">
        <v>4</v>
      </c>
      <c r="AM34" s="18">
        <v>0</v>
      </c>
      <c r="AN34" s="18">
        <v>0</v>
      </c>
      <c r="AO34" s="18">
        <v>0</v>
      </c>
      <c r="AP34" s="18">
        <v>0</v>
      </c>
      <c r="AQ34" s="18">
        <v>0</v>
      </c>
      <c r="AR34" s="5"/>
      <c r="AS34" s="5"/>
      <c r="AT34" s="5"/>
      <c r="AU34" s="5"/>
      <c r="AV34" s="5"/>
      <c r="AW34" s="5"/>
      <c r="AX34" s="5"/>
      <c r="AY34" s="5"/>
      <c r="AZ34" s="5"/>
      <c r="BA34" s="5"/>
      <c r="BB34" s="5"/>
      <c r="BC34" s="5"/>
      <c r="BD34" s="5"/>
      <c r="BE34" s="5"/>
      <c r="BF34" s="5"/>
      <c r="BJ34" t="s">
        <v>56</v>
      </c>
      <c r="BK34" t="s">
        <v>167</v>
      </c>
      <c r="BL34" s="84">
        <v>1.6</v>
      </c>
      <c r="BM34" s="84">
        <v>1.2</v>
      </c>
      <c r="BN34" s="84">
        <v>1.31</v>
      </c>
      <c r="BO34" s="84">
        <v>0.2</v>
      </c>
      <c r="BP34" s="84">
        <v>0.4</v>
      </c>
      <c r="BQ34" s="84">
        <v>0.42</v>
      </c>
      <c r="BR34" s="84">
        <v>0</v>
      </c>
      <c r="BS34" s="84">
        <v>0</v>
      </c>
      <c r="BT34" s="84">
        <v>0</v>
      </c>
      <c r="BU34" s="84">
        <v>0</v>
      </c>
      <c r="BV34" s="84">
        <v>0.4</v>
      </c>
      <c r="BW34" s="84">
        <v>0.3</v>
      </c>
      <c r="BX34" s="84">
        <v>0</v>
      </c>
      <c r="BY34" s="84">
        <v>0</v>
      </c>
      <c r="BZ34" s="84">
        <v>0</v>
      </c>
      <c r="CA34" s="5"/>
      <c r="CB34" s="5"/>
      <c r="CC34" s="5"/>
      <c r="CD34" s="5"/>
      <c r="CE34" s="5"/>
      <c r="CF34" s="5"/>
      <c r="CG34" s="5"/>
      <c r="CH34" s="5"/>
      <c r="CI34" s="5"/>
      <c r="CJ34" s="5"/>
      <c r="CK34" s="5"/>
      <c r="CL34" s="5"/>
      <c r="CM34" s="5"/>
      <c r="CN34" s="5"/>
      <c r="CO34" s="5"/>
    </row>
    <row r="35" spans="2:93" x14ac:dyDescent="0.3">
      <c r="B35" t="s">
        <v>135</v>
      </c>
      <c r="C35" s="3" t="s">
        <v>210</v>
      </c>
      <c r="D35" s="132" t="str">
        <f>VLOOKUP(C35,Mapping!$AB$2:$AC$8,2,FALSE)</f>
        <v>Age 0 - 6</v>
      </c>
      <c r="E35" s="132" t="str">
        <f t="shared" si="4"/>
        <v>Gannawarra (S)Age 0 - 6</v>
      </c>
      <c r="F35" s="132" t="str">
        <f>INDEX(Mapping!$Y:$Y,MATCH($B35,Mapping!$W:$W,0))</f>
        <v>Rural</v>
      </c>
      <c r="G35" s="45">
        <f t="shared" si="5"/>
        <v>717</v>
      </c>
      <c r="H35" s="45">
        <f t="shared" si="5"/>
        <v>683</v>
      </c>
      <c r="I35" s="45">
        <f t="shared" si="5"/>
        <v>684</v>
      </c>
      <c r="J35" s="5"/>
      <c r="K35" s="5"/>
      <c r="L35" s="5"/>
      <c r="M35" s="5"/>
      <c r="P35" t="s">
        <v>23</v>
      </c>
      <c r="Q35" t="s">
        <v>135</v>
      </c>
      <c r="R35" s="18">
        <v>199</v>
      </c>
      <c r="S35" s="18">
        <v>176</v>
      </c>
      <c r="T35" s="18">
        <v>179</v>
      </c>
      <c r="U35" s="5"/>
      <c r="V35" s="5"/>
      <c r="W35" s="5"/>
      <c r="X35" s="5"/>
      <c r="AA35" t="s">
        <v>23</v>
      </c>
      <c r="AB35" t="s">
        <v>135</v>
      </c>
      <c r="AC35" s="18">
        <v>0</v>
      </c>
      <c r="AD35" s="18">
        <v>1</v>
      </c>
      <c r="AE35" s="18">
        <v>0</v>
      </c>
      <c r="AF35" s="18">
        <v>0</v>
      </c>
      <c r="AG35" s="18">
        <v>2</v>
      </c>
      <c r="AH35" s="18">
        <v>0</v>
      </c>
      <c r="AI35" s="18">
        <v>1</v>
      </c>
      <c r="AJ35" s="18">
        <v>0</v>
      </c>
      <c r="AK35" s="18">
        <v>0</v>
      </c>
      <c r="AL35" s="18">
        <v>0</v>
      </c>
      <c r="AM35" s="18">
        <v>0</v>
      </c>
      <c r="AN35" s="18">
        <v>1</v>
      </c>
      <c r="AO35" s="18">
        <v>0</v>
      </c>
      <c r="AP35" s="18">
        <v>0</v>
      </c>
      <c r="AQ35" s="18">
        <v>1</v>
      </c>
      <c r="AR35" s="5"/>
      <c r="AS35" s="5"/>
      <c r="AT35" s="5"/>
      <c r="AU35" s="5"/>
      <c r="AV35" s="5"/>
      <c r="AW35" s="5"/>
      <c r="AX35" s="5"/>
      <c r="AY35" s="5"/>
      <c r="AZ35" s="5"/>
      <c r="BA35" s="5"/>
      <c r="BB35" s="5"/>
      <c r="BC35" s="5"/>
      <c r="BD35" s="5"/>
      <c r="BE35" s="5"/>
      <c r="BF35" s="5"/>
      <c r="BJ35" t="s">
        <v>23</v>
      </c>
      <c r="BK35" t="s">
        <v>134</v>
      </c>
      <c r="BL35" s="84">
        <v>15.7</v>
      </c>
      <c r="BM35" s="84">
        <v>14.1</v>
      </c>
      <c r="BN35" s="84">
        <v>15.1</v>
      </c>
      <c r="BO35" s="84">
        <v>0.8</v>
      </c>
      <c r="BP35" s="84">
        <v>1.6</v>
      </c>
      <c r="BQ35" s="84">
        <v>0.8</v>
      </c>
      <c r="BR35" s="84">
        <v>0</v>
      </c>
      <c r="BS35" s="84">
        <v>0</v>
      </c>
      <c r="BT35" s="84">
        <v>0</v>
      </c>
      <c r="BU35" s="84">
        <v>1</v>
      </c>
      <c r="BV35" s="84">
        <v>1</v>
      </c>
      <c r="BW35" s="84">
        <v>0</v>
      </c>
      <c r="BX35" s="84">
        <v>0.6</v>
      </c>
      <c r="BY35" s="84">
        <v>0.6</v>
      </c>
      <c r="BZ35" s="84">
        <v>0.63</v>
      </c>
      <c r="CA35" s="5"/>
      <c r="CB35" s="5"/>
      <c r="CC35" s="5"/>
      <c r="CD35" s="5"/>
      <c r="CE35" s="5"/>
      <c r="CF35" s="5"/>
      <c r="CG35" s="5"/>
      <c r="CH35" s="5"/>
      <c r="CI35" s="5"/>
      <c r="CJ35" s="5"/>
      <c r="CK35" s="5"/>
      <c r="CL35" s="5"/>
      <c r="CM35" s="5"/>
      <c r="CN35" s="5"/>
      <c r="CO35" s="5"/>
    </row>
    <row r="36" spans="2:93" x14ac:dyDescent="0.3">
      <c r="B36" t="s">
        <v>154</v>
      </c>
      <c r="C36" s="3" t="s">
        <v>210</v>
      </c>
      <c r="D36" s="132" t="str">
        <f>VLOOKUP(C36,Mapping!$AB$2:$AC$8,2,FALSE)</f>
        <v>Age 0 - 6</v>
      </c>
      <c r="E36" s="132" t="str">
        <f t="shared" si="4"/>
        <v>Glen Eira (C)Age 0 - 6</v>
      </c>
      <c r="F36" s="132" t="str">
        <f>INDEX(Mapping!$Y:$Y,MATCH($B36,Mapping!$W:$W,0))</f>
        <v>Metro</v>
      </c>
      <c r="G36" s="45">
        <f t="shared" si="5"/>
        <v>10687</v>
      </c>
      <c r="H36" s="45">
        <f t="shared" si="5"/>
        <v>10874</v>
      </c>
      <c r="I36" s="45">
        <f t="shared" si="5"/>
        <v>9996</v>
      </c>
      <c r="J36" s="5"/>
      <c r="K36" s="5"/>
      <c r="L36" s="5"/>
      <c r="M36" s="5"/>
      <c r="P36" t="s">
        <v>41</v>
      </c>
      <c r="Q36" t="s">
        <v>154</v>
      </c>
      <c r="R36" s="18">
        <v>1049</v>
      </c>
      <c r="S36" s="18">
        <v>857</v>
      </c>
      <c r="T36" s="18">
        <v>897</v>
      </c>
      <c r="U36" s="5"/>
      <c r="V36" s="5"/>
      <c r="W36" s="5"/>
      <c r="X36" s="5"/>
      <c r="AA36" t="s">
        <v>41</v>
      </c>
      <c r="AB36" t="s">
        <v>154</v>
      </c>
      <c r="AC36" s="18">
        <v>7</v>
      </c>
      <c r="AD36" s="18">
        <v>3</v>
      </c>
      <c r="AE36" s="18">
        <v>5</v>
      </c>
      <c r="AF36" s="18">
        <v>4</v>
      </c>
      <c r="AG36" s="18">
        <v>5</v>
      </c>
      <c r="AH36" s="18">
        <v>6</v>
      </c>
      <c r="AI36" s="18">
        <v>3</v>
      </c>
      <c r="AJ36" s="18">
        <v>8</v>
      </c>
      <c r="AK36" s="18">
        <v>3</v>
      </c>
      <c r="AL36" s="18">
        <v>6</v>
      </c>
      <c r="AM36" s="18">
        <v>7</v>
      </c>
      <c r="AN36" s="18">
        <v>5</v>
      </c>
      <c r="AO36" s="18">
        <v>2</v>
      </c>
      <c r="AP36" s="18">
        <v>5</v>
      </c>
      <c r="AQ36" s="18">
        <v>6</v>
      </c>
      <c r="AR36" s="5"/>
      <c r="AS36" s="5"/>
      <c r="AT36" s="5"/>
      <c r="AU36" s="5"/>
      <c r="AV36" s="5"/>
      <c r="AW36" s="5"/>
      <c r="AX36" s="5"/>
      <c r="AY36" s="5"/>
      <c r="AZ36" s="5"/>
      <c r="BA36" s="5"/>
      <c r="BB36" s="5"/>
      <c r="BC36" s="5"/>
      <c r="BD36" s="5"/>
      <c r="BE36" s="5"/>
      <c r="BF36" s="5"/>
      <c r="BJ36" t="s">
        <v>41</v>
      </c>
      <c r="BK36" t="s">
        <v>152</v>
      </c>
      <c r="BL36" s="84">
        <v>3.8</v>
      </c>
      <c r="BM36" s="84">
        <v>3.8</v>
      </c>
      <c r="BN36" s="84">
        <v>3.2</v>
      </c>
      <c r="BO36" s="84">
        <v>0.2</v>
      </c>
      <c r="BP36" s="84">
        <v>0.2</v>
      </c>
      <c r="BQ36" s="84">
        <v>0.6</v>
      </c>
      <c r="BR36" s="84">
        <v>0</v>
      </c>
      <c r="BS36" s="84">
        <v>0</v>
      </c>
      <c r="BT36" s="84">
        <v>0</v>
      </c>
      <c r="BU36" s="84">
        <v>1.6</v>
      </c>
      <c r="BV36" s="84">
        <v>1.6</v>
      </c>
      <c r="BW36" s="84">
        <v>3</v>
      </c>
      <c r="BX36" s="84">
        <v>1.2</v>
      </c>
      <c r="BY36" s="84">
        <v>1.2</v>
      </c>
      <c r="BZ36" s="84">
        <v>0</v>
      </c>
      <c r="CA36" s="5"/>
      <c r="CB36" s="5"/>
      <c r="CC36" s="5"/>
      <c r="CD36" s="5"/>
      <c r="CE36" s="5"/>
      <c r="CF36" s="5"/>
      <c r="CG36" s="5"/>
      <c r="CH36" s="5"/>
      <c r="CI36" s="5"/>
      <c r="CJ36" s="5"/>
      <c r="CK36" s="5"/>
      <c r="CL36" s="5"/>
      <c r="CM36" s="5"/>
      <c r="CN36" s="5"/>
      <c r="CO36" s="5"/>
    </row>
    <row r="37" spans="2:93" x14ac:dyDescent="0.3">
      <c r="B37" t="s">
        <v>168</v>
      </c>
      <c r="C37" s="3" t="s">
        <v>210</v>
      </c>
      <c r="D37" s="132" t="str">
        <f>VLOOKUP(C37,Mapping!$AB$2:$AC$8,2,FALSE)</f>
        <v>Age 0 - 6</v>
      </c>
      <c r="E37" s="132" t="str">
        <f t="shared" si="4"/>
        <v>Glenelg (S)Age 0 - 6</v>
      </c>
      <c r="F37" s="132" t="str">
        <f>INDEX(Mapping!$Y:$Y,MATCH($B37,Mapping!$W:$W,0))</f>
        <v>Rural</v>
      </c>
      <c r="G37" s="45">
        <f t="shared" si="5"/>
        <v>1441</v>
      </c>
      <c r="H37" s="45">
        <f t="shared" si="5"/>
        <v>1152</v>
      </c>
      <c r="I37" s="45">
        <f t="shared" si="5"/>
        <v>1159</v>
      </c>
      <c r="J37" s="5"/>
      <c r="K37" s="5"/>
      <c r="L37" s="5"/>
      <c r="M37" s="5"/>
      <c r="P37" t="s">
        <v>56</v>
      </c>
      <c r="Q37" t="s">
        <v>168</v>
      </c>
      <c r="R37" s="18">
        <v>360</v>
      </c>
      <c r="S37" s="18">
        <v>326</v>
      </c>
      <c r="T37" s="18">
        <v>331</v>
      </c>
      <c r="U37" s="5"/>
      <c r="V37" s="5"/>
      <c r="W37" s="5"/>
      <c r="X37" s="5"/>
      <c r="AA37" t="s">
        <v>56</v>
      </c>
      <c r="AB37" t="s">
        <v>168</v>
      </c>
      <c r="AC37" s="18">
        <v>0</v>
      </c>
      <c r="AD37" s="18">
        <v>0</v>
      </c>
      <c r="AE37" s="18">
        <v>1</v>
      </c>
      <c r="AF37" s="18">
        <v>3</v>
      </c>
      <c r="AG37" s="18">
        <v>1</v>
      </c>
      <c r="AH37" s="18">
        <v>0</v>
      </c>
      <c r="AI37" s="18">
        <v>1</v>
      </c>
      <c r="AJ37" s="18">
        <v>1</v>
      </c>
      <c r="AK37" s="18">
        <v>4</v>
      </c>
      <c r="AL37" s="18">
        <v>1</v>
      </c>
      <c r="AM37" s="18">
        <v>1</v>
      </c>
      <c r="AN37" s="18">
        <v>1</v>
      </c>
      <c r="AO37" s="18">
        <v>1</v>
      </c>
      <c r="AP37" s="18">
        <v>2</v>
      </c>
      <c r="AQ37" s="18">
        <v>2</v>
      </c>
      <c r="AR37" s="5"/>
      <c r="AS37" s="5"/>
      <c r="AT37" s="5"/>
      <c r="AU37" s="5"/>
      <c r="AV37" s="5"/>
      <c r="AW37" s="5"/>
      <c r="AX37" s="5"/>
      <c r="AY37" s="5"/>
      <c r="AZ37" s="5"/>
      <c r="BA37" s="5"/>
      <c r="BB37" s="5"/>
      <c r="BC37" s="5"/>
      <c r="BD37" s="5"/>
      <c r="BE37" s="5"/>
      <c r="BF37" s="5"/>
      <c r="BJ37" t="s">
        <v>41</v>
      </c>
      <c r="BK37" t="s">
        <v>153</v>
      </c>
      <c r="BL37" s="84">
        <v>15.1</v>
      </c>
      <c r="BM37" s="84">
        <v>18</v>
      </c>
      <c r="BN37" s="84">
        <v>16.600000000000001</v>
      </c>
      <c r="BO37" s="84">
        <v>2</v>
      </c>
      <c r="BP37" s="84">
        <v>1</v>
      </c>
      <c r="BQ37" s="84">
        <v>1</v>
      </c>
      <c r="BR37" s="84">
        <v>0</v>
      </c>
      <c r="BS37" s="84">
        <v>0</v>
      </c>
      <c r="BT37" s="84">
        <v>0</v>
      </c>
      <c r="BU37" s="84">
        <v>1.4</v>
      </c>
      <c r="BV37" s="84">
        <v>1</v>
      </c>
      <c r="BW37" s="84">
        <v>2</v>
      </c>
      <c r="BX37" s="84">
        <v>1</v>
      </c>
      <c r="BY37" s="84">
        <v>1</v>
      </c>
      <c r="BZ37" s="84">
        <v>0</v>
      </c>
      <c r="CA37" s="5"/>
      <c r="CB37" s="5"/>
      <c r="CC37" s="5"/>
      <c r="CD37" s="5"/>
      <c r="CE37" s="5"/>
      <c r="CF37" s="5"/>
      <c r="CG37" s="5"/>
      <c r="CH37" s="5"/>
      <c r="CI37" s="5"/>
      <c r="CJ37" s="5"/>
      <c r="CK37" s="5"/>
      <c r="CL37" s="5"/>
      <c r="CM37" s="5"/>
      <c r="CN37" s="5"/>
      <c r="CO37" s="5"/>
    </row>
    <row r="38" spans="2:93" x14ac:dyDescent="0.3">
      <c r="B38" t="s">
        <v>169</v>
      </c>
      <c r="C38" s="3" t="s">
        <v>210</v>
      </c>
      <c r="D38" s="132" t="str">
        <f>VLOOKUP(C38,Mapping!$AB$2:$AC$8,2,FALSE)</f>
        <v>Age 0 - 6</v>
      </c>
      <c r="E38" s="132" t="str">
        <f t="shared" si="4"/>
        <v>Golden Plains (S)Age 0 - 6</v>
      </c>
      <c r="F38" s="132" t="str">
        <f>INDEX(Mapping!$Y:$Y,MATCH($B38,Mapping!$W:$W,0))</f>
        <v>Rural</v>
      </c>
      <c r="G38" s="45">
        <f t="shared" si="5"/>
        <v>1563</v>
      </c>
      <c r="H38" s="45">
        <f t="shared" si="5"/>
        <v>1557</v>
      </c>
      <c r="I38" s="45">
        <f t="shared" si="5"/>
        <v>1557</v>
      </c>
      <c r="J38" s="5"/>
      <c r="K38" s="5"/>
      <c r="L38" s="5"/>
      <c r="M38" s="5"/>
      <c r="P38" t="s">
        <v>56</v>
      </c>
      <c r="Q38" t="s">
        <v>169</v>
      </c>
      <c r="R38" s="18">
        <v>248</v>
      </c>
      <c r="S38" s="18">
        <v>234</v>
      </c>
      <c r="T38" s="18">
        <v>235</v>
      </c>
      <c r="U38" s="5"/>
      <c r="V38" s="5"/>
      <c r="W38" s="5"/>
      <c r="X38" s="5"/>
      <c r="AA38" t="s">
        <v>56</v>
      </c>
      <c r="AB38" t="s">
        <v>169</v>
      </c>
      <c r="AC38" s="18">
        <v>0</v>
      </c>
      <c r="AD38" s="18">
        <v>0</v>
      </c>
      <c r="AE38" s="18">
        <v>2</v>
      </c>
      <c r="AF38" s="18">
        <v>0</v>
      </c>
      <c r="AG38" s="18">
        <v>1</v>
      </c>
      <c r="AH38" s="18">
        <v>1</v>
      </c>
      <c r="AI38" s="18">
        <v>0</v>
      </c>
      <c r="AJ38" s="18">
        <v>2</v>
      </c>
      <c r="AK38" s="18">
        <v>0</v>
      </c>
      <c r="AL38" s="18">
        <v>2</v>
      </c>
      <c r="AM38" s="18">
        <v>1</v>
      </c>
      <c r="AN38" s="18">
        <v>0</v>
      </c>
      <c r="AO38" s="18">
        <v>1</v>
      </c>
      <c r="AP38" s="18">
        <v>1</v>
      </c>
      <c r="AQ38" s="18">
        <v>1</v>
      </c>
      <c r="AR38" s="5"/>
      <c r="AS38" s="5"/>
      <c r="AT38" s="5"/>
      <c r="AU38" s="5"/>
      <c r="AV38" s="5"/>
      <c r="AW38" s="5"/>
      <c r="AX38" s="5"/>
      <c r="AY38" s="5"/>
      <c r="AZ38" s="5"/>
      <c r="BA38" s="5"/>
      <c r="BB38" s="5"/>
      <c r="BC38" s="5"/>
      <c r="BD38" s="5"/>
      <c r="BE38" s="5"/>
      <c r="BF38" s="5"/>
      <c r="BJ38" t="s">
        <v>23</v>
      </c>
      <c r="BK38" t="s">
        <v>135</v>
      </c>
      <c r="BL38" s="84">
        <v>1.4</v>
      </c>
      <c r="BM38" s="84">
        <v>0.6</v>
      </c>
      <c r="BN38" s="84">
        <v>0.8</v>
      </c>
      <c r="BO38" s="84">
        <v>0</v>
      </c>
      <c r="BP38" s="84">
        <v>0</v>
      </c>
      <c r="BQ38" s="84">
        <v>0</v>
      </c>
      <c r="BR38" s="84">
        <v>0.2</v>
      </c>
      <c r="BS38" s="84">
        <v>0.2</v>
      </c>
      <c r="BT38" s="84">
        <v>0.2</v>
      </c>
      <c r="BU38" s="84">
        <v>0</v>
      </c>
      <c r="BV38" s="84">
        <v>0</v>
      </c>
      <c r="BW38" s="84">
        <v>0.8</v>
      </c>
      <c r="BX38" s="84">
        <v>0</v>
      </c>
      <c r="BY38" s="84">
        <v>0</v>
      </c>
      <c r="BZ38" s="84">
        <v>0</v>
      </c>
      <c r="CA38" s="5"/>
      <c r="CB38" s="5"/>
      <c r="CC38" s="5"/>
      <c r="CD38" s="5"/>
      <c r="CE38" s="5"/>
      <c r="CF38" s="5"/>
      <c r="CG38" s="5"/>
      <c r="CH38" s="5"/>
      <c r="CI38" s="5"/>
      <c r="CJ38" s="5"/>
      <c r="CK38" s="5"/>
      <c r="CL38" s="5"/>
      <c r="CM38" s="5"/>
      <c r="CN38" s="5"/>
      <c r="CO38" s="5"/>
    </row>
    <row r="39" spans="2:93" x14ac:dyDescent="0.3">
      <c r="B39" t="s">
        <v>136</v>
      </c>
      <c r="C39" s="3" t="s">
        <v>210</v>
      </c>
      <c r="D39" s="132" t="str">
        <f>VLOOKUP(C39,Mapping!$AB$2:$AC$8,2,FALSE)</f>
        <v>Age 0 - 6</v>
      </c>
      <c r="E39" s="132" t="str">
        <f t="shared" si="4"/>
        <v>Greater Bendigo (C)Age 0 - 6</v>
      </c>
      <c r="F39" s="132" t="str">
        <f>INDEX(Mapping!$Y:$Y,MATCH($B39,Mapping!$W:$W,0))</f>
        <v>Rural</v>
      </c>
      <c r="G39" s="45">
        <f t="shared" si="5"/>
        <v>9110</v>
      </c>
      <c r="H39" s="45">
        <f t="shared" si="5"/>
        <v>9057</v>
      </c>
      <c r="I39" s="45">
        <f t="shared" si="5"/>
        <v>9089</v>
      </c>
      <c r="J39" s="5"/>
      <c r="K39" s="5"/>
      <c r="L39" s="5"/>
      <c r="M39" s="5"/>
      <c r="P39" t="s">
        <v>23</v>
      </c>
      <c r="Q39" t="s">
        <v>136</v>
      </c>
      <c r="R39" s="18">
        <v>2393</v>
      </c>
      <c r="S39" s="18">
        <v>2239</v>
      </c>
      <c r="T39" s="18">
        <v>2371</v>
      </c>
      <c r="U39" s="5"/>
      <c r="V39" s="5"/>
      <c r="W39" s="5"/>
      <c r="X39" s="5"/>
      <c r="AA39" t="s">
        <v>23</v>
      </c>
      <c r="AB39" t="s">
        <v>136</v>
      </c>
      <c r="AC39" s="18">
        <v>2</v>
      </c>
      <c r="AD39" s="18">
        <v>0</v>
      </c>
      <c r="AE39" s="18">
        <v>7</v>
      </c>
      <c r="AF39" s="18">
        <v>5</v>
      </c>
      <c r="AG39" s="18">
        <v>10</v>
      </c>
      <c r="AH39" s="18">
        <v>3</v>
      </c>
      <c r="AI39" s="18">
        <v>1</v>
      </c>
      <c r="AJ39" s="18">
        <v>6</v>
      </c>
      <c r="AK39" s="18">
        <v>5</v>
      </c>
      <c r="AL39" s="18">
        <v>10</v>
      </c>
      <c r="AM39" s="18">
        <v>5</v>
      </c>
      <c r="AN39" s="18">
        <v>1</v>
      </c>
      <c r="AO39" s="18">
        <v>4</v>
      </c>
      <c r="AP39" s="18">
        <v>5</v>
      </c>
      <c r="AQ39" s="18">
        <v>12</v>
      </c>
      <c r="AR39" s="5"/>
      <c r="AS39" s="5"/>
      <c r="AT39" s="5"/>
      <c r="AU39" s="5"/>
      <c r="AV39" s="5"/>
      <c r="AW39" s="5"/>
      <c r="AX39" s="5"/>
      <c r="AY39" s="5"/>
      <c r="AZ39" s="5"/>
      <c r="BA39" s="5"/>
      <c r="BB39" s="5"/>
      <c r="BC39" s="5"/>
      <c r="BD39" s="5"/>
      <c r="BE39" s="5"/>
      <c r="BF39" s="5"/>
      <c r="BJ39" t="s">
        <v>41</v>
      </c>
      <c r="BK39" t="s">
        <v>154</v>
      </c>
      <c r="BL39" s="84">
        <v>14.7</v>
      </c>
      <c r="BM39" s="84">
        <v>14.9</v>
      </c>
      <c r="BN39" s="84">
        <v>15</v>
      </c>
      <c r="BO39" s="84">
        <v>1</v>
      </c>
      <c r="BP39" s="84">
        <v>0</v>
      </c>
      <c r="BQ39" s="84">
        <v>1</v>
      </c>
      <c r="BR39" s="84">
        <v>0</v>
      </c>
      <c r="BS39" s="84">
        <v>0</v>
      </c>
      <c r="BT39" s="84">
        <v>0</v>
      </c>
      <c r="BU39" s="84">
        <v>0.84</v>
      </c>
      <c r="BV39" s="84">
        <v>1</v>
      </c>
      <c r="BW39" s="84">
        <v>1</v>
      </c>
      <c r="BX39" s="84">
        <v>0</v>
      </c>
      <c r="BY39" s="84">
        <v>0</v>
      </c>
      <c r="BZ39" s="84">
        <v>0</v>
      </c>
      <c r="CA39" s="5"/>
      <c r="CB39" s="5"/>
      <c r="CC39" s="5"/>
      <c r="CD39" s="5"/>
      <c r="CE39" s="5"/>
      <c r="CF39" s="5"/>
      <c r="CG39" s="5"/>
      <c r="CH39" s="5"/>
      <c r="CI39" s="5"/>
      <c r="CJ39" s="5"/>
      <c r="CK39" s="5"/>
      <c r="CL39" s="5"/>
      <c r="CM39" s="5"/>
      <c r="CN39" s="5"/>
      <c r="CO39" s="5"/>
    </row>
    <row r="40" spans="2:93" x14ac:dyDescent="0.3">
      <c r="B40" t="s">
        <v>155</v>
      </c>
      <c r="C40" s="3" t="s">
        <v>210</v>
      </c>
      <c r="D40" s="132" t="str">
        <f>VLOOKUP(C40,Mapping!$AB$2:$AC$8,2,FALSE)</f>
        <v>Age 0 - 6</v>
      </c>
      <c r="E40" s="132" t="str">
        <f t="shared" si="4"/>
        <v>Greater Dandenong (C)Age 0 - 6</v>
      </c>
      <c r="F40" s="132" t="str">
        <f>INDEX(Mapping!$Y:$Y,MATCH($B40,Mapping!$W:$W,0))</f>
        <v>Metro</v>
      </c>
      <c r="G40" s="45">
        <f t="shared" si="5"/>
        <v>17102</v>
      </c>
      <c r="H40" s="45">
        <f t="shared" si="5"/>
        <v>13025</v>
      </c>
      <c r="I40" s="45">
        <f t="shared" si="5"/>
        <v>13212</v>
      </c>
      <c r="J40" s="5"/>
      <c r="K40" s="5"/>
      <c r="L40" s="5"/>
      <c r="M40" s="5"/>
      <c r="P40" t="s">
        <v>41</v>
      </c>
      <c r="Q40" t="s">
        <v>155</v>
      </c>
      <c r="R40" s="18">
        <v>4346</v>
      </c>
      <c r="S40" s="18">
        <v>3986</v>
      </c>
      <c r="T40" s="18">
        <v>4333</v>
      </c>
      <c r="U40" s="5"/>
      <c r="V40" s="5"/>
      <c r="W40" s="5"/>
      <c r="X40" s="5"/>
      <c r="AA40" t="s">
        <v>41</v>
      </c>
      <c r="AB40" t="s">
        <v>155</v>
      </c>
      <c r="AC40" s="18">
        <v>5</v>
      </c>
      <c r="AD40" s="18">
        <v>2</v>
      </c>
      <c r="AE40" s="18">
        <v>6</v>
      </c>
      <c r="AF40" s="18">
        <v>11</v>
      </c>
      <c r="AG40" s="18">
        <v>5</v>
      </c>
      <c r="AH40" s="18">
        <v>3</v>
      </c>
      <c r="AI40" s="18">
        <v>2</v>
      </c>
      <c r="AJ40" s="18">
        <v>5</v>
      </c>
      <c r="AK40" s="18">
        <v>11</v>
      </c>
      <c r="AL40" s="18">
        <v>4</v>
      </c>
      <c r="AM40" s="18">
        <v>0</v>
      </c>
      <c r="AN40" s="18">
        <v>0</v>
      </c>
      <c r="AO40" s="18">
        <v>0</v>
      </c>
      <c r="AP40" s="18">
        <v>0</v>
      </c>
      <c r="AQ40" s="18">
        <v>0</v>
      </c>
      <c r="AR40" s="5"/>
      <c r="AS40" s="5"/>
      <c r="AT40" s="5"/>
      <c r="AU40" s="5"/>
      <c r="AV40" s="5"/>
      <c r="AW40" s="5"/>
      <c r="AX40" s="5"/>
      <c r="AY40" s="5"/>
      <c r="AZ40" s="5"/>
      <c r="BA40" s="5"/>
      <c r="BB40" s="5"/>
      <c r="BC40" s="5"/>
      <c r="BD40" s="5"/>
      <c r="BE40" s="5"/>
      <c r="BF40" s="5"/>
      <c r="BJ40" t="s">
        <v>56</v>
      </c>
      <c r="BK40" t="s">
        <v>168</v>
      </c>
      <c r="BL40" s="84">
        <v>1.3</v>
      </c>
      <c r="BM40" s="84">
        <v>1.23</v>
      </c>
      <c r="BN40" s="84">
        <v>1.6</v>
      </c>
      <c r="BO40" s="84">
        <v>0.2</v>
      </c>
      <c r="BP40" s="84">
        <v>0</v>
      </c>
      <c r="BQ40" s="84">
        <v>0</v>
      </c>
      <c r="BR40" s="84">
        <v>0</v>
      </c>
      <c r="BS40" s="84">
        <v>0</v>
      </c>
      <c r="BT40" s="84">
        <v>0.2</v>
      </c>
      <c r="BU40" s="84">
        <v>0.32</v>
      </c>
      <c r="BV40" s="84">
        <v>0.36</v>
      </c>
      <c r="BW40" s="84">
        <v>0</v>
      </c>
      <c r="BX40" s="84">
        <v>0.4</v>
      </c>
      <c r="BY40" s="84">
        <v>0.36</v>
      </c>
      <c r="BZ40" s="84">
        <v>0</v>
      </c>
      <c r="CA40" s="5"/>
      <c r="CB40" s="5"/>
      <c r="CC40" s="5"/>
      <c r="CD40" s="5"/>
      <c r="CE40" s="5"/>
      <c r="CF40" s="5"/>
      <c r="CG40" s="5"/>
      <c r="CH40" s="5"/>
      <c r="CI40" s="5"/>
      <c r="CJ40" s="5"/>
      <c r="CK40" s="5"/>
      <c r="CL40" s="5"/>
      <c r="CM40" s="5"/>
      <c r="CN40" s="5"/>
      <c r="CO40" s="5"/>
    </row>
    <row r="41" spans="2:93" x14ac:dyDescent="0.3">
      <c r="B41" t="s">
        <v>170</v>
      </c>
      <c r="C41" s="3" t="s">
        <v>210</v>
      </c>
      <c r="D41" s="132" t="str">
        <f>VLOOKUP(C41,Mapping!$AB$2:$AC$8,2,FALSE)</f>
        <v>Age 0 - 6</v>
      </c>
      <c r="E41" s="132" t="str">
        <f t="shared" si="4"/>
        <v>Greater Geelong (C)Age 0 - 6</v>
      </c>
      <c r="F41" s="132" t="str">
        <f>INDEX(Mapping!$Y:$Y,MATCH($B41,Mapping!$W:$W,0))</f>
        <v>Rural</v>
      </c>
      <c r="G41" s="45">
        <f t="shared" si="5"/>
        <v>17141</v>
      </c>
      <c r="H41" s="45">
        <f t="shared" si="5"/>
        <v>17333</v>
      </c>
      <c r="I41" s="45">
        <f t="shared" si="5"/>
        <v>17550</v>
      </c>
      <c r="J41" s="5"/>
      <c r="K41" s="5"/>
      <c r="L41" s="5"/>
      <c r="M41" s="5"/>
      <c r="P41" t="s">
        <v>56</v>
      </c>
      <c r="Q41" t="s">
        <v>170</v>
      </c>
      <c r="R41" s="18">
        <v>3978</v>
      </c>
      <c r="S41" s="18">
        <v>3834</v>
      </c>
      <c r="T41" s="18">
        <v>4058</v>
      </c>
      <c r="U41" s="5"/>
      <c r="V41" s="5"/>
      <c r="W41" s="5"/>
      <c r="X41" s="5"/>
      <c r="AA41" t="s">
        <v>56</v>
      </c>
      <c r="AB41" t="s">
        <v>170</v>
      </c>
      <c r="AC41" s="18">
        <v>2</v>
      </c>
      <c r="AD41" s="18">
        <v>3</v>
      </c>
      <c r="AE41" s="18">
        <v>15</v>
      </c>
      <c r="AF41" s="18">
        <v>9</v>
      </c>
      <c r="AG41" s="18">
        <v>4</v>
      </c>
      <c r="AH41" s="18">
        <v>3</v>
      </c>
      <c r="AI41" s="18">
        <v>4</v>
      </c>
      <c r="AJ41" s="18">
        <v>14</v>
      </c>
      <c r="AK41" s="18">
        <v>10</v>
      </c>
      <c r="AL41" s="18">
        <v>3</v>
      </c>
      <c r="AM41" s="18">
        <v>4</v>
      </c>
      <c r="AN41" s="18">
        <v>2</v>
      </c>
      <c r="AO41" s="18">
        <v>14</v>
      </c>
      <c r="AP41" s="18">
        <v>15</v>
      </c>
      <c r="AQ41" s="18">
        <v>3</v>
      </c>
      <c r="AR41" s="5"/>
      <c r="AS41" s="5"/>
      <c r="AT41" s="5"/>
      <c r="AU41" s="5"/>
      <c r="AV41" s="5"/>
      <c r="AW41" s="5"/>
      <c r="AX41" s="5"/>
      <c r="AY41" s="5"/>
      <c r="AZ41" s="5"/>
      <c r="BA41" s="5"/>
      <c r="BB41" s="5"/>
      <c r="BC41" s="5"/>
      <c r="BD41" s="5"/>
      <c r="BE41" s="5"/>
      <c r="BF41" s="5"/>
      <c r="BJ41" t="s">
        <v>56</v>
      </c>
      <c r="BK41" t="s">
        <v>169</v>
      </c>
      <c r="BL41" s="84">
        <v>1.7</v>
      </c>
      <c r="BM41" s="84">
        <v>1.8</v>
      </c>
      <c r="BN41" s="84">
        <v>1.8</v>
      </c>
      <c r="BO41" s="84">
        <v>0.4</v>
      </c>
      <c r="BP41" s="84">
        <v>0.4</v>
      </c>
      <c r="BQ41" s="84">
        <v>0.4</v>
      </c>
      <c r="BR41" s="84">
        <v>0</v>
      </c>
      <c r="BS41" s="84">
        <v>0</v>
      </c>
      <c r="BT41" s="84">
        <v>0</v>
      </c>
      <c r="BU41" s="84">
        <v>0.3</v>
      </c>
      <c r="BV41" s="84">
        <v>0.2</v>
      </c>
      <c r="BW41" s="84">
        <v>0.2</v>
      </c>
      <c r="BX41" s="84">
        <v>0</v>
      </c>
      <c r="BY41" s="84">
        <v>0</v>
      </c>
      <c r="BZ41" s="84">
        <v>0</v>
      </c>
      <c r="CA41" s="5"/>
      <c r="CB41" s="5"/>
      <c r="CC41" s="5"/>
      <c r="CD41" s="5"/>
      <c r="CE41" s="5"/>
      <c r="CF41" s="5"/>
      <c r="CG41" s="5"/>
      <c r="CH41" s="5"/>
      <c r="CI41" s="5"/>
      <c r="CJ41" s="5"/>
      <c r="CK41" s="5"/>
      <c r="CL41" s="5"/>
      <c r="CM41" s="5"/>
      <c r="CN41" s="5"/>
      <c r="CO41" s="5"/>
    </row>
    <row r="42" spans="2:93" x14ac:dyDescent="0.3">
      <c r="B42" t="s">
        <v>114</v>
      </c>
      <c r="C42" s="3" t="s">
        <v>210</v>
      </c>
      <c r="D42" s="132" t="str">
        <f>VLOOKUP(C42,Mapping!$AB$2:$AC$8,2,FALSE)</f>
        <v>Age 0 - 6</v>
      </c>
      <c r="E42" s="132" t="str">
        <f t="shared" si="4"/>
        <v>Greater Shepparton (C)Age 0 - 6</v>
      </c>
      <c r="F42" s="132" t="str">
        <f>INDEX(Mapping!$Y:$Y,MATCH($B42,Mapping!$W:$W,0))</f>
        <v>Rural</v>
      </c>
      <c r="G42" s="45">
        <f t="shared" si="5"/>
        <v>5550</v>
      </c>
      <c r="H42" s="45">
        <f t="shared" si="5"/>
        <v>5556</v>
      </c>
      <c r="I42" s="45">
        <f t="shared" si="5"/>
        <v>5586</v>
      </c>
      <c r="J42" s="5"/>
      <c r="K42" s="5"/>
      <c r="L42" s="5"/>
      <c r="M42" s="5"/>
      <c r="P42" t="s">
        <v>3</v>
      </c>
      <c r="Q42" t="s">
        <v>114</v>
      </c>
      <c r="R42" s="18">
        <v>1821</v>
      </c>
      <c r="S42" s="18">
        <v>1624</v>
      </c>
      <c r="T42" s="18">
        <v>1753</v>
      </c>
      <c r="U42" s="5"/>
      <c r="V42" s="5"/>
      <c r="W42" s="5"/>
      <c r="X42" s="5"/>
      <c r="AA42" t="s">
        <v>3</v>
      </c>
      <c r="AB42" t="s">
        <v>114</v>
      </c>
      <c r="AC42" s="18">
        <v>5</v>
      </c>
      <c r="AD42" s="18">
        <v>6</v>
      </c>
      <c r="AE42" s="18">
        <v>4</v>
      </c>
      <c r="AF42" s="18">
        <v>3</v>
      </c>
      <c r="AG42" s="18">
        <v>0</v>
      </c>
      <c r="AH42" s="18">
        <v>6</v>
      </c>
      <c r="AI42" s="18">
        <v>5</v>
      </c>
      <c r="AJ42" s="18">
        <v>6</v>
      </c>
      <c r="AK42" s="18">
        <v>3</v>
      </c>
      <c r="AL42" s="18">
        <v>1</v>
      </c>
      <c r="AM42" s="18">
        <v>7</v>
      </c>
      <c r="AN42" s="18">
        <v>5</v>
      </c>
      <c r="AO42" s="18">
        <v>5</v>
      </c>
      <c r="AP42" s="18">
        <v>6</v>
      </c>
      <c r="AQ42" s="18">
        <v>1</v>
      </c>
      <c r="AR42" s="5"/>
      <c r="AS42" s="5"/>
      <c r="AT42" s="5"/>
      <c r="AU42" s="5"/>
      <c r="AV42" s="5"/>
      <c r="AW42" s="5"/>
      <c r="AX42" s="5"/>
      <c r="AY42" s="5"/>
      <c r="AZ42" s="5"/>
      <c r="BA42" s="5"/>
      <c r="BB42" s="5"/>
      <c r="BC42" s="5"/>
      <c r="BD42" s="5"/>
      <c r="BE42" s="5"/>
      <c r="BF42" s="5"/>
      <c r="BJ42" t="s">
        <v>23</v>
      </c>
      <c r="BK42" t="s">
        <v>136</v>
      </c>
      <c r="BL42" s="84">
        <v>10.71</v>
      </c>
      <c r="BM42" s="84">
        <v>10.71</v>
      </c>
      <c r="BN42" s="84">
        <v>13.93</v>
      </c>
      <c r="BO42" s="84">
        <v>1</v>
      </c>
      <c r="BP42" s="84">
        <v>1</v>
      </c>
      <c r="BQ42" s="84">
        <v>1</v>
      </c>
      <c r="BR42" s="84">
        <v>0</v>
      </c>
      <c r="BS42" s="84">
        <v>0</v>
      </c>
      <c r="BT42" s="84">
        <v>0</v>
      </c>
      <c r="BU42" s="84">
        <v>0.42</v>
      </c>
      <c r="BV42" s="84">
        <v>0.42</v>
      </c>
      <c r="BW42" s="84">
        <v>0.42</v>
      </c>
      <c r="BX42" s="84">
        <v>1.2</v>
      </c>
      <c r="BY42" s="84">
        <v>1.4</v>
      </c>
      <c r="BZ42" s="84">
        <v>1.6</v>
      </c>
      <c r="CA42" s="5"/>
      <c r="CB42" s="5"/>
      <c r="CC42" s="5"/>
      <c r="CD42" s="5"/>
      <c r="CE42" s="5"/>
      <c r="CF42" s="5"/>
      <c r="CG42" s="5"/>
      <c r="CH42" s="5"/>
      <c r="CI42" s="5"/>
      <c r="CJ42" s="5"/>
      <c r="CK42" s="5"/>
      <c r="CL42" s="5"/>
      <c r="CM42" s="5"/>
      <c r="CN42" s="5"/>
      <c r="CO42" s="5"/>
    </row>
    <row r="43" spans="2:93" x14ac:dyDescent="0.3">
      <c r="B43" t="s">
        <v>171</v>
      </c>
      <c r="C43" s="3" t="s">
        <v>210</v>
      </c>
      <c r="D43" s="132" t="str">
        <f>VLOOKUP(C43,Mapping!$AB$2:$AC$8,2,FALSE)</f>
        <v>Age 0 - 6</v>
      </c>
      <c r="E43" s="132" t="str">
        <f t="shared" si="4"/>
        <v>Hepburn (S)Age 0 - 6</v>
      </c>
      <c r="F43" s="132" t="str">
        <f>INDEX(Mapping!$Y:$Y,MATCH($B43,Mapping!$W:$W,0))</f>
        <v>Rural</v>
      </c>
      <c r="G43" s="45">
        <f t="shared" si="5"/>
        <v>867</v>
      </c>
      <c r="H43" s="45">
        <f t="shared" si="5"/>
        <v>787</v>
      </c>
      <c r="I43" s="45">
        <f t="shared" si="5"/>
        <v>788</v>
      </c>
      <c r="J43" s="5"/>
      <c r="K43" s="5"/>
      <c r="L43" s="5"/>
      <c r="M43" s="5"/>
      <c r="P43" t="s">
        <v>56</v>
      </c>
      <c r="Q43" t="s">
        <v>171</v>
      </c>
      <c r="R43" s="18">
        <v>282</v>
      </c>
      <c r="S43" s="18">
        <v>241</v>
      </c>
      <c r="T43" s="18">
        <v>242</v>
      </c>
      <c r="U43" s="5"/>
      <c r="V43" s="5"/>
      <c r="W43" s="5"/>
      <c r="X43" s="5"/>
      <c r="AA43" t="s">
        <v>56</v>
      </c>
      <c r="AB43" t="s">
        <v>171</v>
      </c>
      <c r="AC43" s="18">
        <v>0</v>
      </c>
      <c r="AD43" s="18">
        <v>0</v>
      </c>
      <c r="AE43" s="18">
        <v>1</v>
      </c>
      <c r="AF43" s="18">
        <v>2</v>
      </c>
      <c r="AG43" s="18">
        <v>1</v>
      </c>
      <c r="AH43" s="18">
        <v>0</v>
      </c>
      <c r="AI43" s="18">
        <v>0</v>
      </c>
      <c r="AJ43" s="18">
        <v>2</v>
      </c>
      <c r="AK43" s="18">
        <v>1</v>
      </c>
      <c r="AL43" s="18">
        <v>1</v>
      </c>
      <c r="AM43" s="18">
        <v>1</v>
      </c>
      <c r="AN43" s="18">
        <v>0</v>
      </c>
      <c r="AO43" s="18">
        <v>1</v>
      </c>
      <c r="AP43" s="18">
        <v>2</v>
      </c>
      <c r="AQ43" s="18">
        <v>1</v>
      </c>
      <c r="AR43" s="5"/>
      <c r="AS43" s="5"/>
      <c r="AT43" s="5"/>
      <c r="AU43" s="5"/>
      <c r="AV43" s="5"/>
      <c r="AW43" s="5"/>
      <c r="AX43" s="5"/>
      <c r="AY43" s="5"/>
      <c r="AZ43" s="5"/>
      <c r="BA43" s="5"/>
      <c r="BB43" s="5"/>
      <c r="BC43" s="5"/>
      <c r="BD43" s="5"/>
      <c r="BE43" s="5"/>
      <c r="BF43" s="5"/>
      <c r="BJ43" t="s">
        <v>41</v>
      </c>
      <c r="BK43" t="s">
        <v>155</v>
      </c>
      <c r="BL43" s="84">
        <v>19.89</v>
      </c>
      <c r="BM43" s="84">
        <v>15.64</v>
      </c>
      <c r="BN43" s="84">
        <v>21.71</v>
      </c>
      <c r="BO43" s="84">
        <v>1</v>
      </c>
      <c r="BP43" s="84">
        <v>1</v>
      </c>
      <c r="BQ43" s="84">
        <v>1</v>
      </c>
      <c r="BR43" s="84">
        <v>0</v>
      </c>
      <c r="BS43" s="84">
        <v>0</v>
      </c>
      <c r="BT43" s="84">
        <v>0</v>
      </c>
      <c r="BU43" s="84">
        <v>2.4700000000000002</v>
      </c>
      <c r="BV43" s="84">
        <v>2.4700000000000002</v>
      </c>
      <c r="BW43" s="84">
        <v>3.36</v>
      </c>
      <c r="BX43" s="84">
        <v>1.2</v>
      </c>
      <c r="BY43" s="84">
        <v>1.2</v>
      </c>
      <c r="BZ43" s="84">
        <v>0</v>
      </c>
      <c r="CA43" s="5"/>
      <c r="CB43" s="5"/>
      <c r="CC43" s="5"/>
      <c r="CD43" s="5"/>
      <c r="CE43" s="5"/>
      <c r="CF43" s="5"/>
      <c r="CG43" s="5"/>
      <c r="CH43" s="5"/>
      <c r="CI43" s="5"/>
      <c r="CJ43" s="5"/>
      <c r="CK43" s="5"/>
      <c r="CL43" s="5"/>
      <c r="CM43" s="5"/>
      <c r="CN43" s="5"/>
      <c r="CO43" s="5"/>
    </row>
    <row r="44" spans="2:93" x14ac:dyDescent="0.3">
      <c r="B44" t="s">
        <v>172</v>
      </c>
      <c r="C44" s="3" t="s">
        <v>210</v>
      </c>
      <c r="D44" s="132" t="str">
        <f>VLOOKUP(C44,Mapping!$AB$2:$AC$8,2,FALSE)</f>
        <v>Age 0 - 6</v>
      </c>
      <c r="E44" s="132" t="str">
        <f t="shared" si="4"/>
        <v>Hindmarsh (S)Age 0 - 6</v>
      </c>
      <c r="F44" s="132" t="str">
        <f>INDEX(Mapping!$Y:$Y,MATCH($B44,Mapping!$W:$W,0))</f>
        <v>Rural</v>
      </c>
      <c r="G44" s="45">
        <f t="shared" si="5"/>
        <v>377</v>
      </c>
      <c r="H44" s="45">
        <f t="shared" si="5"/>
        <v>367</v>
      </c>
      <c r="I44" s="45">
        <f t="shared" si="5"/>
        <v>365</v>
      </c>
      <c r="J44" s="5"/>
      <c r="K44" s="5"/>
      <c r="L44" s="5"/>
      <c r="M44" s="5"/>
      <c r="P44" t="s">
        <v>56</v>
      </c>
      <c r="Q44" t="s">
        <v>172</v>
      </c>
      <c r="R44" s="18">
        <v>82</v>
      </c>
      <c r="S44" s="18">
        <v>73</v>
      </c>
      <c r="T44" s="18">
        <v>95</v>
      </c>
      <c r="U44" s="5"/>
      <c r="V44" s="5"/>
      <c r="W44" s="5"/>
      <c r="X44" s="5"/>
      <c r="AA44" t="s">
        <v>56</v>
      </c>
      <c r="AB44" t="s">
        <v>172</v>
      </c>
      <c r="AC44" s="18">
        <v>1</v>
      </c>
      <c r="AD44" s="18">
        <v>0</v>
      </c>
      <c r="AE44" s="18">
        <v>1</v>
      </c>
      <c r="AF44" s="18">
        <v>0</v>
      </c>
      <c r="AG44" s="18">
        <v>0</v>
      </c>
      <c r="AH44" s="18">
        <v>1</v>
      </c>
      <c r="AI44" s="18">
        <v>0</v>
      </c>
      <c r="AJ44" s="18">
        <v>0</v>
      </c>
      <c r="AK44" s="18">
        <v>1</v>
      </c>
      <c r="AL44" s="18">
        <v>0</v>
      </c>
      <c r="AM44" s="18">
        <v>0</v>
      </c>
      <c r="AN44" s="18">
        <v>0</v>
      </c>
      <c r="AO44" s="18">
        <v>0</v>
      </c>
      <c r="AP44" s="18">
        <v>0</v>
      </c>
      <c r="AQ44" s="18">
        <v>0</v>
      </c>
      <c r="AR44" s="5"/>
      <c r="AS44" s="5"/>
      <c r="AT44" s="5"/>
      <c r="AU44" s="5"/>
      <c r="AV44" s="5"/>
      <c r="AW44" s="5"/>
      <c r="AX44" s="5"/>
      <c r="AY44" s="5"/>
      <c r="AZ44" s="5"/>
      <c r="BA44" s="5"/>
      <c r="BB44" s="5"/>
      <c r="BC44" s="5"/>
      <c r="BD44" s="5"/>
      <c r="BE44" s="5"/>
      <c r="BF44" s="5"/>
      <c r="BJ44" t="s">
        <v>56</v>
      </c>
      <c r="BK44" t="s">
        <v>170</v>
      </c>
      <c r="BL44" s="84">
        <v>21.8</v>
      </c>
      <c r="BM44" s="84">
        <v>23.1</v>
      </c>
      <c r="BN44" s="84">
        <v>23.8</v>
      </c>
      <c r="BO44" s="84">
        <v>0</v>
      </c>
      <c r="BP44" s="84">
        <v>0</v>
      </c>
      <c r="BQ44" s="84">
        <v>1</v>
      </c>
      <c r="BR44" s="84">
        <v>1</v>
      </c>
      <c r="BS44" s="84">
        <v>1</v>
      </c>
      <c r="BT44" s="84">
        <v>0</v>
      </c>
      <c r="BU44" s="84">
        <v>3.6</v>
      </c>
      <c r="BV44" s="84">
        <v>4.0999999999999996</v>
      </c>
      <c r="BW44" s="84">
        <v>4.0999999999999996</v>
      </c>
      <c r="BX44" s="84">
        <v>0.7</v>
      </c>
      <c r="BY44" s="84">
        <v>0.4</v>
      </c>
      <c r="BZ44" s="84">
        <v>0.5</v>
      </c>
      <c r="CA44" s="5"/>
      <c r="CB44" s="5"/>
      <c r="CC44" s="5"/>
      <c r="CD44" s="5"/>
      <c r="CE44" s="5"/>
      <c r="CF44" s="5"/>
      <c r="CG44" s="5"/>
      <c r="CH44" s="5"/>
      <c r="CI44" s="5"/>
      <c r="CJ44" s="5"/>
      <c r="CK44" s="5"/>
      <c r="CL44" s="5"/>
      <c r="CM44" s="5"/>
      <c r="CN44" s="5"/>
      <c r="CO44" s="5"/>
    </row>
    <row r="45" spans="2:93" x14ac:dyDescent="0.3">
      <c r="B45" t="s">
        <v>173</v>
      </c>
      <c r="C45" s="3" t="s">
        <v>210</v>
      </c>
      <c r="D45" s="132" t="str">
        <f>VLOOKUP(C45,Mapping!$AB$2:$AC$8,2,FALSE)</f>
        <v>Age 0 - 6</v>
      </c>
      <c r="E45" s="132" t="str">
        <f t="shared" si="4"/>
        <v>Hobsons Bay (C)Age 0 - 6</v>
      </c>
      <c r="F45" s="132" t="str">
        <f>INDEX(Mapping!$Y:$Y,MATCH($B45,Mapping!$W:$W,0))</f>
        <v>Metro</v>
      </c>
      <c r="G45" s="45">
        <f t="shared" si="5"/>
        <v>8194</v>
      </c>
      <c r="H45" s="45">
        <f t="shared" si="5"/>
        <v>7909</v>
      </c>
      <c r="I45" s="45">
        <f t="shared" si="5"/>
        <v>7766</v>
      </c>
      <c r="J45" s="5"/>
      <c r="K45" s="5"/>
      <c r="L45" s="5"/>
      <c r="M45" s="5"/>
      <c r="P45" t="s">
        <v>56</v>
      </c>
      <c r="Q45" t="s">
        <v>173</v>
      </c>
      <c r="R45" s="18">
        <v>1317</v>
      </c>
      <c r="S45" s="18">
        <v>1225</v>
      </c>
      <c r="T45" s="18">
        <v>1226</v>
      </c>
      <c r="U45" s="5"/>
      <c r="V45" s="5"/>
      <c r="W45" s="5"/>
      <c r="X45" s="5"/>
      <c r="AA45" t="s">
        <v>56</v>
      </c>
      <c r="AB45" t="s">
        <v>173</v>
      </c>
      <c r="AC45" s="18">
        <v>0</v>
      </c>
      <c r="AD45" s="18">
        <v>3</v>
      </c>
      <c r="AE45" s="18">
        <v>6</v>
      </c>
      <c r="AF45" s="18">
        <v>6</v>
      </c>
      <c r="AG45" s="18">
        <v>4</v>
      </c>
      <c r="AH45" s="18">
        <v>4</v>
      </c>
      <c r="AI45" s="18">
        <v>1</v>
      </c>
      <c r="AJ45" s="18">
        <v>7</v>
      </c>
      <c r="AK45" s="18">
        <v>4</v>
      </c>
      <c r="AL45" s="18">
        <v>3</v>
      </c>
      <c r="AM45" s="18">
        <v>3</v>
      </c>
      <c r="AN45" s="18">
        <v>1</v>
      </c>
      <c r="AO45" s="18">
        <v>5</v>
      </c>
      <c r="AP45" s="18">
        <v>5</v>
      </c>
      <c r="AQ45" s="18">
        <v>4</v>
      </c>
      <c r="AR45" s="5"/>
      <c r="AS45" s="5"/>
      <c r="AT45" s="5"/>
      <c r="AU45" s="5"/>
      <c r="AV45" s="5"/>
      <c r="AW45" s="5"/>
      <c r="AX45" s="5"/>
      <c r="AY45" s="5"/>
      <c r="AZ45" s="5"/>
      <c r="BA45" s="5"/>
      <c r="BB45" s="5"/>
      <c r="BC45" s="5"/>
      <c r="BD45" s="5"/>
      <c r="BE45" s="5"/>
      <c r="BF45" s="5"/>
      <c r="BJ45" t="s">
        <v>3</v>
      </c>
      <c r="BK45" t="s">
        <v>114</v>
      </c>
      <c r="BL45" s="84">
        <v>7.4</v>
      </c>
      <c r="BM45" s="84">
        <v>7.78</v>
      </c>
      <c r="BN45" s="84">
        <v>7.97</v>
      </c>
      <c r="BO45" s="84">
        <v>0.86</v>
      </c>
      <c r="BP45" s="84">
        <v>1</v>
      </c>
      <c r="BQ45" s="84">
        <v>1</v>
      </c>
      <c r="BR45" s="84">
        <v>0</v>
      </c>
      <c r="BS45" s="84">
        <v>0</v>
      </c>
      <c r="BT45" s="84">
        <v>0</v>
      </c>
      <c r="BU45" s="84">
        <v>1</v>
      </c>
      <c r="BV45" s="84">
        <v>1</v>
      </c>
      <c r="BW45" s="84">
        <v>1</v>
      </c>
      <c r="BX45" s="84">
        <v>0.24</v>
      </c>
      <c r="BY45" s="84">
        <v>0.24</v>
      </c>
      <c r="BZ45" s="84">
        <v>0.23</v>
      </c>
      <c r="CA45" s="5"/>
      <c r="CB45" s="5"/>
      <c r="CC45" s="5"/>
      <c r="CD45" s="5"/>
      <c r="CE45" s="5"/>
      <c r="CF45" s="5"/>
      <c r="CG45" s="5"/>
      <c r="CH45" s="5"/>
      <c r="CI45" s="5"/>
      <c r="CJ45" s="5"/>
      <c r="CK45" s="5"/>
      <c r="CL45" s="5"/>
      <c r="CM45" s="5"/>
      <c r="CN45" s="5"/>
      <c r="CO45" s="5"/>
    </row>
    <row r="46" spans="2:93" x14ac:dyDescent="0.3">
      <c r="B46" t="s">
        <v>174</v>
      </c>
      <c r="C46" s="3" t="s">
        <v>210</v>
      </c>
      <c r="D46" s="132" t="str">
        <f>VLOOKUP(C46,Mapping!$AB$2:$AC$8,2,FALSE)</f>
        <v>Age 0 - 6</v>
      </c>
      <c r="E46" s="132" t="str">
        <f t="shared" si="4"/>
        <v>Horsham (RC)Age 0 - 6</v>
      </c>
      <c r="F46" s="132" t="str">
        <f>INDEX(Mapping!$Y:$Y,MATCH($B46,Mapping!$W:$W,0))</f>
        <v>Rural</v>
      </c>
      <c r="G46" s="45">
        <f t="shared" si="5"/>
        <v>1647</v>
      </c>
      <c r="H46" s="45">
        <f t="shared" si="5"/>
        <v>1521</v>
      </c>
      <c r="I46" s="45">
        <f t="shared" si="5"/>
        <v>1312</v>
      </c>
      <c r="J46" s="5"/>
      <c r="K46" s="5"/>
      <c r="L46" s="5"/>
      <c r="M46" s="5"/>
      <c r="P46" t="s">
        <v>56</v>
      </c>
      <c r="Q46" t="s">
        <v>174</v>
      </c>
      <c r="R46" s="18">
        <v>406</v>
      </c>
      <c r="S46" s="18">
        <v>385</v>
      </c>
      <c r="T46" s="18">
        <v>386</v>
      </c>
      <c r="U46" s="5"/>
      <c r="V46" s="5"/>
      <c r="W46" s="5"/>
      <c r="X46" s="5"/>
      <c r="AA46" t="s">
        <v>56</v>
      </c>
      <c r="AB46" t="s">
        <v>174</v>
      </c>
      <c r="AC46" s="18">
        <v>1</v>
      </c>
      <c r="AD46" s="18">
        <v>1</v>
      </c>
      <c r="AE46" s="18">
        <v>1</v>
      </c>
      <c r="AF46" s="18">
        <v>1</v>
      </c>
      <c r="AG46" s="18">
        <v>1</v>
      </c>
      <c r="AH46" s="18">
        <v>1</v>
      </c>
      <c r="AI46" s="18">
        <v>1</v>
      </c>
      <c r="AJ46" s="18">
        <v>1</v>
      </c>
      <c r="AK46" s="18">
        <v>3</v>
      </c>
      <c r="AL46" s="18">
        <v>0</v>
      </c>
      <c r="AM46" s="18">
        <v>2</v>
      </c>
      <c r="AN46" s="18">
        <v>0</v>
      </c>
      <c r="AO46" s="18">
        <v>1</v>
      </c>
      <c r="AP46" s="18">
        <v>1</v>
      </c>
      <c r="AQ46" s="18">
        <v>1</v>
      </c>
      <c r="AR46" s="5"/>
      <c r="AS46" s="5"/>
      <c r="AT46" s="5"/>
      <c r="AU46" s="5"/>
      <c r="AV46" s="5"/>
      <c r="AW46" s="5"/>
      <c r="AX46" s="5"/>
      <c r="AY46" s="5"/>
      <c r="AZ46" s="5"/>
      <c r="BA46" s="5"/>
      <c r="BB46" s="5"/>
      <c r="BC46" s="5"/>
      <c r="BD46" s="5"/>
      <c r="BE46" s="5"/>
      <c r="BF46" s="5"/>
      <c r="BJ46" t="s">
        <v>56</v>
      </c>
      <c r="BK46" t="s">
        <v>171</v>
      </c>
      <c r="BL46" s="84">
        <v>1.5</v>
      </c>
      <c r="BM46" s="84">
        <v>1.5</v>
      </c>
      <c r="BN46" s="84">
        <v>1.5</v>
      </c>
      <c r="BO46" s="84">
        <v>0.4</v>
      </c>
      <c r="BP46" s="84">
        <v>0.4</v>
      </c>
      <c r="BQ46" s="84">
        <v>0.4</v>
      </c>
      <c r="BR46" s="84">
        <v>0</v>
      </c>
      <c r="BS46" s="84">
        <v>0</v>
      </c>
      <c r="BT46" s="84">
        <v>0</v>
      </c>
      <c r="BU46" s="84">
        <v>0.4</v>
      </c>
      <c r="BV46" s="84">
        <v>0.4</v>
      </c>
      <c r="BW46" s="84">
        <v>0</v>
      </c>
      <c r="BX46" s="84">
        <v>0</v>
      </c>
      <c r="BY46" s="84">
        <v>0</v>
      </c>
      <c r="BZ46" s="84">
        <v>0.4</v>
      </c>
      <c r="CA46" s="5"/>
      <c r="CB46" s="5"/>
      <c r="CC46" s="5"/>
      <c r="CD46" s="5"/>
      <c r="CE46" s="5"/>
      <c r="CF46" s="5"/>
      <c r="CG46" s="5"/>
      <c r="CH46" s="5"/>
      <c r="CI46" s="5"/>
      <c r="CJ46" s="5"/>
      <c r="CK46" s="5"/>
      <c r="CL46" s="5"/>
      <c r="CM46" s="5"/>
      <c r="CN46" s="5"/>
      <c r="CO46" s="5"/>
    </row>
    <row r="47" spans="2:93" x14ac:dyDescent="0.3">
      <c r="B47" t="s">
        <v>137</v>
      </c>
      <c r="C47" s="3" t="s">
        <v>210</v>
      </c>
      <c r="D47" s="132" t="str">
        <f>VLOOKUP(C47,Mapping!$AB$2:$AC$8,2,FALSE)</f>
        <v>Age 0 - 6</v>
      </c>
      <c r="E47" s="132" t="str">
        <f t="shared" si="4"/>
        <v>Hume (C)Age 0 - 6</v>
      </c>
      <c r="F47" s="132" t="str">
        <f>INDEX(Mapping!$Y:$Y,MATCH($B47,Mapping!$W:$W,0))</f>
        <v>Interface</v>
      </c>
      <c r="G47" s="45">
        <f t="shared" si="5"/>
        <v>18858</v>
      </c>
      <c r="H47" s="45">
        <f t="shared" si="5"/>
        <v>19897</v>
      </c>
      <c r="I47" s="45">
        <f t="shared" si="5"/>
        <v>20776</v>
      </c>
      <c r="J47" s="5"/>
      <c r="K47" s="5"/>
      <c r="L47" s="5"/>
      <c r="M47" s="5"/>
      <c r="P47" t="s">
        <v>23</v>
      </c>
      <c r="Q47" t="s">
        <v>137</v>
      </c>
      <c r="R47" s="18">
        <v>5940</v>
      </c>
      <c r="S47" s="18">
        <v>5941</v>
      </c>
      <c r="T47" s="18">
        <v>6658</v>
      </c>
      <c r="U47" s="5"/>
      <c r="V47" s="5"/>
      <c r="W47" s="5"/>
      <c r="X47" s="5"/>
      <c r="AA47" t="s">
        <v>23</v>
      </c>
      <c r="AB47" t="s">
        <v>137</v>
      </c>
      <c r="AC47" s="18">
        <v>8</v>
      </c>
      <c r="AD47" s="18">
        <v>2</v>
      </c>
      <c r="AE47" s="18">
        <v>4</v>
      </c>
      <c r="AF47" s="18">
        <v>5</v>
      </c>
      <c r="AG47" s="18">
        <v>11</v>
      </c>
      <c r="AH47" s="18">
        <v>12</v>
      </c>
      <c r="AI47" s="18">
        <v>5</v>
      </c>
      <c r="AJ47" s="18">
        <v>5</v>
      </c>
      <c r="AK47" s="18">
        <v>4</v>
      </c>
      <c r="AL47" s="18">
        <v>11</v>
      </c>
      <c r="AM47" s="18">
        <v>12</v>
      </c>
      <c r="AN47" s="18">
        <v>5</v>
      </c>
      <c r="AO47" s="18">
        <v>4</v>
      </c>
      <c r="AP47" s="18">
        <v>4</v>
      </c>
      <c r="AQ47" s="18">
        <v>12</v>
      </c>
      <c r="AR47" s="5"/>
      <c r="AS47" s="5"/>
      <c r="AT47" s="5"/>
      <c r="AU47" s="5"/>
      <c r="AV47" s="5"/>
      <c r="AW47" s="5"/>
      <c r="AX47" s="5"/>
      <c r="AY47" s="5"/>
      <c r="AZ47" s="5"/>
      <c r="BA47" s="5"/>
      <c r="BB47" s="5"/>
      <c r="BC47" s="5"/>
      <c r="BD47" s="5"/>
      <c r="BE47" s="5"/>
      <c r="BF47" s="5"/>
      <c r="BJ47" t="s">
        <v>56</v>
      </c>
      <c r="BK47" t="s">
        <v>172</v>
      </c>
      <c r="BL47" s="84">
        <v>0.77</v>
      </c>
      <c r="BM47" s="84">
        <v>0.8</v>
      </c>
      <c r="BN47" s="84">
        <v>0</v>
      </c>
      <c r="BO47" s="84">
        <v>0.1</v>
      </c>
      <c r="BP47" s="84">
        <v>0.2</v>
      </c>
      <c r="BQ47" s="84">
        <v>0.1</v>
      </c>
      <c r="BR47" s="84">
        <v>0</v>
      </c>
      <c r="BS47" s="84">
        <v>0</v>
      </c>
      <c r="BT47" s="84">
        <v>0</v>
      </c>
      <c r="BU47" s="84">
        <v>0.2</v>
      </c>
      <c r="BV47" s="84">
        <v>0.2</v>
      </c>
      <c r="BW47" s="84">
        <v>0.8</v>
      </c>
      <c r="BX47" s="84">
        <v>0</v>
      </c>
      <c r="BY47" s="84">
        <v>0</v>
      </c>
      <c r="BZ47" s="84">
        <v>0</v>
      </c>
      <c r="CA47" s="5"/>
      <c r="CB47" s="5"/>
      <c r="CC47" s="5"/>
      <c r="CD47" s="5"/>
      <c r="CE47" s="5"/>
      <c r="CF47" s="5"/>
      <c r="CG47" s="5"/>
      <c r="CH47" s="5"/>
      <c r="CI47" s="5"/>
      <c r="CJ47" s="5"/>
      <c r="CK47" s="5"/>
      <c r="CL47" s="5"/>
      <c r="CM47" s="5"/>
      <c r="CN47" s="5"/>
      <c r="CO47" s="5"/>
    </row>
    <row r="48" spans="2:93" x14ac:dyDescent="0.3">
      <c r="B48" t="s">
        <v>115</v>
      </c>
      <c r="C48" s="3" t="s">
        <v>210</v>
      </c>
      <c r="D48" s="132" t="str">
        <f>VLOOKUP(C48,Mapping!$AB$2:$AC$8,2,FALSE)</f>
        <v>Age 0 - 6</v>
      </c>
      <c r="E48" s="132" t="str">
        <f t="shared" si="4"/>
        <v>Indigo (S)Age 0 - 6</v>
      </c>
      <c r="F48" s="132" t="str">
        <f>INDEX(Mapping!$Y:$Y,MATCH($B48,Mapping!$W:$W,0))</f>
        <v>Rural</v>
      </c>
      <c r="G48" s="45">
        <f t="shared" ref="G48:I93" si="6">SUMIFS(G$94:G$567,$B$94:$B$567,$B48)</f>
        <v>909</v>
      </c>
      <c r="H48" s="45">
        <f t="shared" si="6"/>
        <v>864</v>
      </c>
      <c r="I48" s="45">
        <f t="shared" si="6"/>
        <v>869</v>
      </c>
      <c r="J48" s="5"/>
      <c r="K48" s="5"/>
      <c r="L48" s="5"/>
      <c r="M48" s="5"/>
      <c r="P48" t="s">
        <v>3</v>
      </c>
      <c r="Q48" t="s">
        <v>115</v>
      </c>
      <c r="R48" s="18">
        <v>183</v>
      </c>
      <c r="S48" s="18">
        <v>177</v>
      </c>
      <c r="T48" s="18">
        <v>164</v>
      </c>
      <c r="U48" s="5"/>
      <c r="V48" s="5"/>
      <c r="W48" s="5"/>
      <c r="X48" s="5"/>
      <c r="AA48" t="s">
        <v>3</v>
      </c>
      <c r="AB48" t="s">
        <v>115</v>
      </c>
      <c r="AC48" s="18">
        <v>0</v>
      </c>
      <c r="AD48" s="18">
        <v>2</v>
      </c>
      <c r="AE48" s="18">
        <v>0</v>
      </c>
      <c r="AF48" s="18">
        <v>2</v>
      </c>
      <c r="AG48" s="18">
        <v>1</v>
      </c>
      <c r="AH48" s="18">
        <v>0</v>
      </c>
      <c r="AI48" s="18">
        <v>2</v>
      </c>
      <c r="AJ48" s="18">
        <v>0</v>
      </c>
      <c r="AK48" s="18">
        <v>2</v>
      </c>
      <c r="AL48" s="18">
        <v>1</v>
      </c>
      <c r="AM48" s="18">
        <v>1</v>
      </c>
      <c r="AN48" s="18">
        <v>1</v>
      </c>
      <c r="AO48" s="18">
        <v>1</v>
      </c>
      <c r="AP48" s="18">
        <v>2</v>
      </c>
      <c r="AQ48" s="18">
        <v>0</v>
      </c>
      <c r="AR48" s="5"/>
      <c r="AS48" s="5"/>
      <c r="AT48" s="5"/>
      <c r="AU48" s="5"/>
      <c r="AV48" s="5"/>
      <c r="AW48" s="5"/>
      <c r="AX48" s="5"/>
      <c r="AY48" s="5"/>
      <c r="AZ48" s="5"/>
      <c r="BA48" s="5"/>
      <c r="BB48" s="5"/>
      <c r="BC48" s="5"/>
      <c r="BD48" s="5"/>
      <c r="BE48" s="5"/>
      <c r="BF48" s="5"/>
      <c r="BJ48" t="s">
        <v>56</v>
      </c>
      <c r="BK48" t="s">
        <v>173</v>
      </c>
      <c r="BL48" s="84">
        <v>10.5</v>
      </c>
      <c r="BM48" s="84">
        <v>11.1</v>
      </c>
      <c r="BN48" s="84">
        <v>11.2</v>
      </c>
      <c r="BO48" s="84">
        <v>1</v>
      </c>
      <c r="BP48" s="84">
        <v>1</v>
      </c>
      <c r="BQ48" s="84">
        <v>1.8</v>
      </c>
      <c r="BR48" s="84">
        <v>0</v>
      </c>
      <c r="BS48" s="84">
        <v>0</v>
      </c>
      <c r="BT48" s="84">
        <v>0</v>
      </c>
      <c r="BU48" s="84">
        <v>1</v>
      </c>
      <c r="BV48" s="84">
        <v>1</v>
      </c>
      <c r="BW48" s="84">
        <v>1</v>
      </c>
      <c r="BX48" s="84">
        <v>0.8</v>
      </c>
      <c r="BY48" s="84">
        <v>0</v>
      </c>
      <c r="BZ48" s="84">
        <v>0</v>
      </c>
      <c r="CA48" s="5"/>
      <c r="CB48" s="5"/>
      <c r="CC48" s="5"/>
      <c r="CD48" s="5"/>
      <c r="CE48" s="5"/>
      <c r="CF48" s="5"/>
      <c r="CG48" s="5"/>
      <c r="CH48" s="5"/>
      <c r="CI48" s="5"/>
      <c r="CJ48" s="5"/>
      <c r="CK48" s="5"/>
      <c r="CL48" s="5"/>
      <c r="CM48" s="5"/>
      <c r="CN48" s="5"/>
      <c r="CO48" s="5"/>
    </row>
    <row r="49" spans="2:93" x14ac:dyDescent="0.3">
      <c r="B49" t="s">
        <v>156</v>
      </c>
      <c r="C49" s="3" t="s">
        <v>210</v>
      </c>
      <c r="D49" s="132" t="str">
        <f>VLOOKUP(C49,Mapping!$AB$2:$AC$8,2,FALSE)</f>
        <v>Age 0 - 6</v>
      </c>
      <c r="E49" s="132" t="str">
        <f t="shared" si="4"/>
        <v>Kingston (C)Age 0 - 6</v>
      </c>
      <c r="F49" s="132" t="str">
        <f>INDEX(Mapping!$Y:$Y,MATCH($B49,Mapping!$W:$W,0))</f>
        <v>Metro</v>
      </c>
      <c r="G49" s="45">
        <f t="shared" si="6"/>
        <v>11695</v>
      </c>
      <c r="H49" s="45">
        <f t="shared" si="6"/>
        <v>11773</v>
      </c>
      <c r="I49" s="45">
        <f t="shared" si="6"/>
        <v>11788</v>
      </c>
      <c r="J49" s="5"/>
      <c r="K49" s="5"/>
      <c r="L49" s="5"/>
      <c r="M49" s="5"/>
      <c r="P49" t="s">
        <v>41</v>
      </c>
      <c r="Q49" t="s">
        <v>156</v>
      </c>
      <c r="R49" s="18">
        <v>1478</v>
      </c>
      <c r="S49" s="18">
        <v>1220</v>
      </c>
      <c r="T49" s="18">
        <v>1337</v>
      </c>
      <c r="U49" s="5"/>
      <c r="V49" s="5"/>
      <c r="W49" s="5"/>
      <c r="X49" s="5"/>
      <c r="AA49" t="s">
        <v>41</v>
      </c>
      <c r="AB49" t="s">
        <v>156</v>
      </c>
      <c r="AC49" s="18">
        <v>3</v>
      </c>
      <c r="AD49" s="18">
        <v>1</v>
      </c>
      <c r="AE49" s="18">
        <v>7</v>
      </c>
      <c r="AF49" s="18">
        <v>9</v>
      </c>
      <c r="AG49" s="18">
        <v>6</v>
      </c>
      <c r="AH49" s="18">
        <v>1</v>
      </c>
      <c r="AI49" s="18">
        <v>3</v>
      </c>
      <c r="AJ49" s="18">
        <v>4</v>
      </c>
      <c r="AK49" s="18">
        <v>11</v>
      </c>
      <c r="AL49" s="18">
        <v>6</v>
      </c>
      <c r="AM49" s="18">
        <v>4</v>
      </c>
      <c r="AN49" s="18">
        <v>4</v>
      </c>
      <c r="AO49" s="18">
        <v>4</v>
      </c>
      <c r="AP49" s="18">
        <v>9</v>
      </c>
      <c r="AQ49" s="18">
        <v>8</v>
      </c>
      <c r="AR49" s="5"/>
      <c r="AS49" s="5"/>
      <c r="AT49" s="5"/>
      <c r="AU49" s="5"/>
      <c r="AV49" s="5"/>
      <c r="AW49" s="5"/>
      <c r="AX49" s="5"/>
      <c r="AY49" s="5"/>
      <c r="AZ49" s="5"/>
      <c r="BA49" s="5"/>
      <c r="BB49" s="5"/>
      <c r="BC49" s="5"/>
      <c r="BD49" s="5"/>
      <c r="BE49" s="5"/>
      <c r="BF49" s="5"/>
      <c r="BJ49" t="s">
        <v>56</v>
      </c>
      <c r="BK49" t="s">
        <v>174</v>
      </c>
      <c r="BL49" s="84">
        <v>1</v>
      </c>
      <c r="BM49" s="84">
        <v>1</v>
      </c>
      <c r="BN49" s="84">
        <v>1.9</v>
      </c>
      <c r="BO49" s="84">
        <v>0</v>
      </c>
      <c r="BP49" s="84">
        <v>0</v>
      </c>
      <c r="BQ49" s="84">
        <v>0</v>
      </c>
      <c r="BR49" s="84">
        <v>0.1</v>
      </c>
      <c r="BS49" s="84">
        <v>0.25</v>
      </c>
      <c r="BT49" s="84">
        <v>0.2</v>
      </c>
      <c r="BU49" s="84">
        <v>0</v>
      </c>
      <c r="BV49" s="84">
        <v>1.9</v>
      </c>
      <c r="BW49" s="84">
        <v>0.8</v>
      </c>
      <c r="BX49" s="84">
        <v>0</v>
      </c>
      <c r="BY49" s="84">
        <v>0</v>
      </c>
      <c r="BZ49" s="84">
        <v>0</v>
      </c>
      <c r="CA49" s="5"/>
      <c r="CB49" s="5"/>
      <c r="CC49" s="5"/>
      <c r="CD49" s="5"/>
      <c r="CE49" s="5"/>
      <c r="CF49" s="5"/>
      <c r="CG49" s="5"/>
      <c r="CH49" s="5"/>
      <c r="CI49" s="5"/>
      <c r="CJ49" s="5"/>
      <c r="CK49" s="5"/>
      <c r="CL49" s="5"/>
      <c r="CM49" s="5"/>
      <c r="CN49" s="5"/>
      <c r="CO49" s="5"/>
    </row>
    <row r="50" spans="2:93" x14ac:dyDescent="0.3">
      <c r="B50" t="s">
        <v>116</v>
      </c>
      <c r="C50" s="3" t="s">
        <v>210</v>
      </c>
      <c r="D50" s="132" t="str">
        <f>VLOOKUP(C50,Mapping!$AB$2:$AC$8,2,FALSE)</f>
        <v>Age 0 - 6</v>
      </c>
      <c r="E50" s="132" t="str">
        <f t="shared" si="4"/>
        <v>Knox (C)Age 0 - 6</v>
      </c>
      <c r="F50" s="132" t="str">
        <f>INDEX(Mapping!$Y:$Y,MATCH($B50,Mapping!$W:$W,0))</f>
        <v>Metro</v>
      </c>
      <c r="G50" s="45">
        <f t="shared" si="6"/>
        <v>11566</v>
      </c>
      <c r="H50" s="45">
        <f t="shared" si="6"/>
        <v>10910</v>
      </c>
      <c r="I50" s="45">
        <f t="shared" si="6"/>
        <v>10895</v>
      </c>
      <c r="J50" s="5"/>
      <c r="K50" s="5"/>
      <c r="L50" s="5"/>
      <c r="M50" s="5"/>
      <c r="P50" t="s">
        <v>3</v>
      </c>
      <c r="Q50" t="s">
        <v>116</v>
      </c>
      <c r="R50" s="18">
        <v>1922</v>
      </c>
      <c r="S50" s="18">
        <v>1730</v>
      </c>
      <c r="T50" s="18">
        <v>1853</v>
      </c>
      <c r="U50" s="5"/>
      <c r="V50" s="5"/>
      <c r="W50" s="5"/>
      <c r="X50" s="5"/>
      <c r="AA50" t="s">
        <v>3</v>
      </c>
      <c r="AB50" t="s">
        <v>116</v>
      </c>
      <c r="AC50" s="18">
        <v>5</v>
      </c>
      <c r="AD50" s="18">
        <v>2</v>
      </c>
      <c r="AE50" s="18">
        <v>12</v>
      </c>
      <c r="AF50" s="18">
        <v>4</v>
      </c>
      <c r="AG50" s="18">
        <v>4</v>
      </c>
      <c r="AH50" s="18">
        <v>5</v>
      </c>
      <c r="AI50" s="18">
        <v>3</v>
      </c>
      <c r="AJ50" s="18">
        <v>10</v>
      </c>
      <c r="AK50" s="18">
        <v>6</v>
      </c>
      <c r="AL50" s="18">
        <v>4</v>
      </c>
      <c r="AM50" s="18">
        <v>7</v>
      </c>
      <c r="AN50" s="18">
        <v>3</v>
      </c>
      <c r="AO50" s="18">
        <v>7</v>
      </c>
      <c r="AP50" s="18">
        <v>8</v>
      </c>
      <c r="AQ50" s="18">
        <v>4</v>
      </c>
      <c r="AR50" s="5"/>
      <c r="AS50" s="5"/>
      <c r="AT50" s="5"/>
      <c r="AU50" s="5"/>
      <c r="AV50" s="5"/>
      <c r="AW50" s="5"/>
      <c r="AX50" s="5"/>
      <c r="AY50" s="5"/>
      <c r="AZ50" s="5"/>
      <c r="BA50" s="5"/>
      <c r="BB50" s="5"/>
      <c r="BC50" s="5"/>
      <c r="BD50" s="5"/>
      <c r="BE50" s="5"/>
      <c r="BF50" s="5"/>
      <c r="BJ50" t="s">
        <v>23</v>
      </c>
      <c r="BK50" t="s">
        <v>137</v>
      </c>
      <c r="BL50" s="84">
        <v>17.48</v>
      </c>
      <c r="BM50" s="84">
        <v>20.65</v>
      </c>
      <c r="BN50" s="84">
        <v>20.399999999999999</v>
      </c>
      <c r="BO50" s="84">
        <v>2</v>
      </c>
      <c r="BP50" s="85">
        <f>AVERAGE(BO50,BQ50)</f>
        <v>2.5</v>
      </c>
      <c r="BQ50" s="84">
        <v>3</v>
      </c>
      <c r="BR50" s="84">
        <v>1</v>
      </c>
      <c r="BS50" s="84">
        <v>0</v>
      </c>
      <c r="BT50" s="84">
        <v>1.2</v>
      </c>
      <c r="BU50" s="84">
        <v>2.79</v>
      </c>
      <c r="BV50" s="84">
        <v>3.38</v>
      </c>
      <c r="BW50" s="84">
        <v>4.1900000000000004</v>
      </c>
      <c r="BX50" s="84">
        <v>6.05</v>
      </c>
      <c r="BY50" s="84">
        <v>6.6</v>
      </c>
      <c r="BZ50" s="84">
        <v>5.6</v>
      </c>
      <c r="CA50" s="5"/>
      <c r="CB50" s="5"/>
      <c r="CC50" s="5"/>
      <c r="CD50" s="5"/>
      <c r="CE50" s="5"/>
      <c r="CF50" s="5"/>
      <c r="CG50" s="5"/>
      <c r="CH50" s="5"/>
      <c r="CI50" s="5"/>
      <c r="CJ50" s="5"/>
      <c r="CK50" s="5"/>
      <c r="CL50" s="5"/>
      <c r="CM50" s="5"/>
      <c r="CN50" s="5"/>
      <c r="CO50" s="5"/>
    </row>
    <row r="51" spans="2:93" x14ac:dyDescent="0.3">
      <c r="B51" t="s">
        <v>157</v>
      </c>
      <c r="C51" s="3" t="s">
        <v>210</v>
      </c>
      <c r="D51" s="132" t="str">
        <f>VLOOKUP(C51,Mapping!$AB$2:$AC$8,2,FALSE)</f>
        <v>Age 0 - 6</v>
      </c>
      <c r="E51" s="132" t="str">
        <f t="shared" si="4"/>
        <v>Latrobe (C)Age 0 - 6</v>
      </c>
      <c r="F51" s="132" t="str">
        <f>INDEX(Mapping!$Y:$Y,MATCH($B51,Mapping!$W:$W,0))</f>
        <v>Rural</v>
      </c>
      <c r="G51" s="45">
        <f t="shared" si="6"/>
        <v>6031</v>
      </c>
      <c r="H51" s="45">
        <f t="shared" si="6"/>
        <v>5827</v>
      </c>
      <c r="I51" s="45">
        <f t="shared" si="6"/>
        <v>5817</v>
      </c>
      <c r="J51" s="5"/>
      <c r="K51" s="5"/>
      <c r="L51" s="5"/>
      <c r="M51" s="5"/>
      <c r="P51" t="s">
        <v>41</v>
      </c>
      <c r="Q51" t="s">
        <v>157</v>
      </c>
      <c r="R51" s="18">
        <v>1971</v>
      </c>
      <c r="S51" s="18">
        <v>1879</v>
      </c>
      <c r="T51" s="18">
        <v>1955</v>
      </c>
      <c r="U51" s="5"/>
      <c r="V51" s="5"/>
      <c r="W51" s="5"/>
      <c r="X51" s="5"/>
      <c r="AA51" t="s">
        <v>41</v>
      </c>
      <c r="AB51" t="s">
        <v>157</v>
      </c>
      <c r="AC51" s="18">
        <v>3</v>
      </c>
      <c r="AD51" s="18">
        <v>1</v>
      </c>
      <c r="AE51" s="18">
        <v>7</v>
      </c>
      <c r="AF51" s="18">
        <v>4</v>
      </c>
      <c r="AG51" s="18">
        <v>5</v>
      </c>
      <c r="AH51" s="18">
        <v>3</v>
      </c>
      <c r="AI51" s="18">
        <v>2</v>
      </c>
      <c r="AJ51" s="18">
        <v>8</v>
      </c>
      <c r="AK51" s="18">
        <v>3</v>
      </c>
      <c r="AL51" s="18">
        <v>6</v>
      </c>
      <c r="AM51" s="18">
        <v>0</v>
      </c>
      <c r="AN51" s="18">
        <v>0</v>
      </c>
      <c r="AO51" s="18">
        <v>0</v>
      </c>
      <c r="AP51" s="18">
        <v>0</v>
      </c>
      <c r="AQ51" s="18">
        <v>0</v>
      </c>
      <c r="AR51" s="5"/>
      <c r="AS51" s="5"/>
      <c r="AT51" s="5"/>
      <c r="AU51" s="5"/>
      <c r="AV51" s="5"/>
      <c r="AW51" s="5"/>
      <c r="AX51" s="5"/>
      <c r="AY51" s="5"/>
      <c r="AZ51" s="5"/>
      <c r="BA51" s="5"/>
      <c r="BB51" s="5"/>
      <c r="BC51" s="5"/>
      <c r="BD51" s="5"/>
      <c r="BE51" s="5"/>
      <c r="BF51" s="5"/>
      <c r="BJ51" t="s">
        <v>3</v>
      </c>
      <c r="BK51" t="s">
        <v>115</v>
      </c>
      <c r="BL51" s="84">
        <v>1.2</v>
      </c>
      <c r="BM51" s="84">
        <v>1.2</v>
      </c>
      <c r="BN51" s="84">
        <v>0.53</v>
      </c>
      <c r="BO51" s="84">
        <v>0</v>
      </c>
      <c r="BP51" s="84">
        <v>0</v>
      </c>
      <c r="BQ51" s="84">
        <v>0</v>
      </c>
      <c r="BR51" s="84">
        <v>0</v>
      </c>
      <c r="BS51" s="84">
        <v>0.2</v>
      </c>
      <c r="BT51" s="84">
        <v>0.28999999999999998</v>
      </c>
      <c r="BU51" s="84">
        <v>0.2</v>
      </c>
      <c r="BV51" s="84">
        <v>0.2</v>
      </c>
      <c r="BW51" s="84">
        <v>0.99</v>
      </c>
      <c r="BX51" s="84">
        <v>0</v>
      </c>
      <c r="BY51" s="84">
        <v>0</v>
      </c>
      <c r="BZ51" s="84">
        <v>0</v>
      </c>
      <c r="CA51" s="5"/>
      <c r="CB51" s="5"/>
      <c r="CC51" s="5"/>
      <c r="CD51" s="5"/>
      <c r="CE51" s="5"/>
      <c r="CF51" s="5"/>
      <c r="CG51" s="5"/>
      <c r="CH51" s="5"/>
      <c r="CI51" s="5"/>
      <c r="CJ51" s="5"/>
      <c r="CK51" s="5"/>
      <c r="CL51" s="5"/>
      <c r="CM51" s="5"/>
      <c r="CN51" s="5"/>
      <c r="CO51" s="5"/>
    </row>
    <row r="52" spans="2:93" x14ac:dyDescent="0.3">
      <c r="B52" t="s">
        <v>138</v>
      </c>
      <c r="C52" s="3" t="s">
        <v>210</v>
      </c>
      <c r="D52" s="132" t="str">
        <f>VLOOKUP(C52,Mapping!$AB$2:$AC$8,2,FALSE)</f>
        <v>Age 0 - 6</v>
      </c>
      <c r="E52" s="132" t="str">
        <f t="shared" si="4"/>
        <v>Loddon (S)Age 0 - 6</v>
      </c>
      <c r="F52" s="132" t="str">
        <f>INDEX(Mapping!$Y:$Y,MATCH($B52,Mapping!$W:$W,0))</f>
        <v>Rural</v>
      </c>
      <c r="G52" s="45">
        <f t="shared" si="6"/>
        <v>404</v>
      </c>
      <c r="H52" s="45">
        <f t="shared" si="6"/>
        <v>416</v>
      </c>
      <c r="I52" s="45">
        <f t="shared" si="6"/>
        <v>424</v>
      </c>
      <c r="J52" s="5"/>
      <c r="K52" s="5"/>
      <c r="L52" s="5"/>
      <c r="M52" s="5"/>
      <c r="P52" t="s">
        <v>23</v>
      </c>
      <c r="Q52" t="s">
        <v>138</v>
      </c>
      <c r="R52" s="18">
        <v>142</v>
      </c>
      <c r="S52" s="18">
        <v>132</v>
      </c>
      <c r="T52" s="18">
        <v>133</v>
      </c>
      <c r="U52" s="5"/>
      <c r="V52" s="5"/>
      <c r="W52" s="5"/>
      <c r="X52" s="5"/>
      <c r="AA52" t="s">
        <v>23</v>
      </c>
      <c r="AB52" t="s">
        <v>138</v>
      </c>
      <c r="AC52" s="18">
        <v>1</v>
      </c>
      <c r="AD52" s="18">
        <v>1</v>
      </c>
      <c r="AE52" s="18">
        <v>0</v>
      </c>
      <c r="AF52" s="18">
        <v>1</v>
      </c>
      <c r="AG52" s="18">
        <v>0</v>
      </c>
      <c r="AH52" s="18">
        <v>1</v>
      </c>
      <c r="AI52" s="18">
        <v>1</v>
      </c>
      <c r="AJ52" s="18">
        <v>0</v>
      </c>
      <c r="AK52" s="18">
        <v>0</v>
      </c>
      <c r="AL52" s="18">
        <v>0</v>
      </c>
      <c r="AM52" s="18">
        <v>2</v>
      </c>
      <c r="AN52" s="18">
        <v>0</v>
      </c>
      <c r="AO52" s="18">
        <v>0</v>
      </c>
      <c r="AP52" s="18">
        <v>0</v>
      </c>
      <c r="AQ52" s="18">
        <v>1</v>
      </c>
      <c r="AR52" s="5"/>
      <c r="AS52" s="5"/>
      <c r="AT52" s="5"/>
      <c r="AU52" s="5"/>
      <c r="AV52" s="5"/>
      <c r="AW52" s="5"/>
      <c r="AX52" s="5"/>
      <c r="AY52" s="5"/>
      <c r="AZ52" s="5"/>
      <c r="BA52" s="5"/>
      <c r="BB52" s="5"/>
      <c r="BC52" s="5"/>
      <c r="BD52" s="5"/>
      <c r="BE52" s="5"/>
      <c r="BF52" s="5"/>
      <c r="BJ52" t="s">
        <v>41</v>
      </c>
      <c r="BK52" t="s">
        <v>156</v>
      </c>
      <c r="BL52" s="84">
        <v>14.6</v>
      </c>
      <c r="BM52" s="84">
        <v>14.2</v>
      </c>
      <c r="BN52" s="84">
        <v>15</v>
      </c>
      <c r="BO52" s="84">
        <v>2</v>
      </c>
      <c r="BP52" s="84">
        <v>2</v>
      </c>
      <c r="BQ52" s="84">
        <v>2.2000000000000002</v>
      </c>
      <c r="BR52" s="84">
        <v>0</v>
      </c>
      <c r="BS52" s="84">
        <v>0</v>
      </c>
      <c r="BT52" s="84">
        <v>0</v>
      </c>
      <c r="BU52" s="84">
        <v>0.6</v>
      </c>
      <c r="BV52" s="84">
        <v>1</v>
      </c>
      <c r="BW52" s="84">
        <v>1.2</v>
      </c>
      <c r="BX52" s="84">
        <v>0.5</v>
      </c>
      <c r="BY52" s="84">
        <v>0.6</v>
      </c>
      <c r="BZ52" s="84">
        <v>0.6</v>
      </c>
      <c r="CA52" s="5"/>
      <c r="CB52" s="5"/>
      <c r="CC52" s="5"/>
      <c r="CD52" s="5"/>
      <c r="CE52" s="5"/>
      <c r="CF52" s="5"/>
      <c r="CG52" s="5"/>
      <c r="CH52" s="5"/>
      <c r="CI52" s="5"/>
      <c r="CJ52" s="5"/>
      <c r="CK52" s="5"/>
      <c r="CL52" s="5"/>
      <c r="CM52" s="5"/>
      <c r="CN52" s="5"/>
      <c r="CO52" s="5"/>
    </row>
    <row r="53" spans="2:93" x14ac:dyDescent="0.3">
      <c r="B53" t="s">
        <v>139</v>
      </c>
      <c r="C53" s="3" t="s">
        <v>210</v>
      </c>
      <c r="D53" s="132" t="str">
        <f>VLOOKUP(C53,Mapping!$AB$2:$AC$8,2,FALSE)</f>
        <v>Age 0 - 6</v>
      </c>
      <c r="E53" s="132" t="str">
        <f t="shared" si="4"/>
        <v>Macedon Ranges (S)Age 0 - 6</v>
      </c>
      <c r="F53" s="132" t="str">
        <f>INDEX(Mapping!$Y:$Y,MATCH($B53,Mapping!$W:$W,0))</f>
        <v>Rural</v>
      </c>
      <c r="G53" s="45">
        <f t="shared" si="6"/>
        <v>3688</v>
      </c>
      <c r="H53" s="45">
        <f t="shared" si="6"/>
        <v>3330</v>
      </c>
      <c r="I53" s="45">
        <f t="shared" si="6"/>
        <v>3347</v>
      </c>
      <c r="J53" s="5"/>
      <c r="K53" s="5"/>
      <c r="L53" s="5"/>
      <c r="M53" s="5"/>
      <c r="P53" t="s">
        <v>23</v>
      </c>
      <c r="Q53" t="s">
        <v>139</v>
      </c>
      <c r="R53" s="18">
        <v>436</v>
      </c>
      <c r="S53" s="18">
        <v>383</v>
      </c>
      <c r="T53" s="18">
        <v>425</v>
      </c>
      <c r="U53" s="5"/>
      <c r="V53" s="5"/>
      <c r="W53" s="5"/>
      <c r="X53" s="5"/>
      <c r="AA53" t="s">
        <v>23</v>
      </c>
      <c r="AB53" t="s">
        <v>139</v>
      </c>
      <c r="AC53" s="18">
        <v>2</v>
      </c>
      <c r="AD53" s="18">
        <v>4</v>
      </c>
      <c r="AE53" s="18">
        <v>1</v>
      </c>
      <c r="AF53" s="18">
        <v>1</v>
      </c>
      <c r="AG53" s="18">
        <v>1</v>
      </c>
      <c r="AH53" s="18">
        <v>1</v>
      </c>
      <c r="AI53" s="18">
        <v>3</v>
      </c>
      <c r="AJ53" s="18">
        <v>3</v>
      </c>
      <c r="AK53" s="18">
        <v>1</v>
      </c>
      <c r="AL53" s="18">
        <v>1</v>
      </c>
      <c r="AM53" s="18">
        <v>1</v>
      </c>
      <c r="AN53" s="18">
        <v>3</v>
      </c>
      <c r="AO53" s="18">
        <v>4</v>
      </c>
      <c r="AP53" s="18">
        <v>1</v>
      </c>
      <c r="AQ53" s="18">
        <v>1</v>
      </c>
      <c r="AR53" s="5"/>
      <c r="AS53" s="5"/>
      <c r="AT53" s="5"/>
      <c r="AU53" s="5"/>
      <c r="AV53" s="5"/>
      <c r="AW53" s="5"/>
      <c r="AX53" s="5"/>
      <c r="AY53" s="5"/>
      <c r="AZ53" s="5"/>
      <c r="BA53" s="5"/>
      <c r="BB53" s="5"/>
      <c r="BC53" s="5"/>
      <c r="BD53" s="5"/>
      <c r="BE53" s="5"/>
      <c r="BF53" s="5"/>
      <c r="BJ53" t="s">
        <v>3</v>
      </c>
      <c r="BK53" t="s">
        <v>116</v>
      </c>
      <c r="BL53" s="84">
        <v>15.36</v>
      </c>
      <c r="BM53" s="84">
        <v>15.56</v>
      </c>
      <c r="BN53" s="84">
        <v>15.36</v>
      </c>
      <c r="BO53" s="84">
        <v>1.9</v>
      </c>
      <c r="BP53" s="84">
        <v>1.9</v>
      </c>
      <c r="BQ53" s="84">
        <v>1.9</v>
      </c>
      <c r="BR53" s="84">
        <v>0</v>
      </c>
      <c r="BS53" s="84">
        <v>0</v>
      </c>
      <c r="BT53" s="84">
        <v>0</v>
      </c>
      <c r="BU53" s="84">
        <v>1.2</v>
      </c>
      <c r="BV53" s="84">
        <v>1.2</v>
      </c>
      <c r="BW53" s="84">
        <v>1.2</v>
      </c>
      <c r="BX53" s="84">
        <v>0.8</v>
      </c>
      <c r="BY53" s="84">
        <v>0.8</v>
      </c>
      <c r="BZ53" s="84">
        <v>0.8</v>
      </c>
      <c r="CA53" s="5"/>
      <c r="CB53" s="5"/>
      <c r="CC53" s="5"/>
      <c r="CD53" s="5"/>
      <c r="CE53" s="5"/>
      <c r="CF53" s="5"/>
      <c r="CG53" s="5"/>
      <c r="CH53" s="5"/>
      <c r="CI53" s="5"/>
      <c r="CJ53" s="5"/>
      <c r="CK53" s="5"/>
      <c r="CL53" s="5"/>
      <c r="CM53" s="5"/>
      <c r="CN53" s="5"/>
      <c r="CO53" s="5"/>
    </row>
    <row r="54" spans="2:93" x14ac:dyDescent="0.3">
      <c r="B54" t="s">
        <v>117</v>
      </c>
      <c r="C54" s="3" t="s">
        <v>210</v>
      </c>
      <c r="D54" s="132" t="str">
        <f>VLOOKUP(C54,Mapping!$AB$2:$AC$8,2,FALSE)</f>
        <v>Age 0 - 6</v>
      </c>
      <c r="E54" s="132" t="str">
        <f t="shared" si="4"/>
        <v>Manningham (C)Age 0 - 6</v>
      </c>
      <c r="F54" s="132" t="str">
        <f>INDEX(Mapping!$Y:$Y,MATCH($B54,Mapping!$W:$W,0))</f>
        <v>Metro</v>
      </c>
      <c r="G54" s="45">
        <f t="shared" si="6"/>
        <v>6910</v>
      </c>
      <c r="H54" s="45">
        <f t="shared" si="6"/>
        <v>6921</v>
      </c>
      <c r="I54" s="45">
        <f t="shared" si="6"/>
        <v>6906</v>
      </c>
      <c r="J54" s="5"/>
      <c r="K54" s="5"/>
      <c r="L54" s="5"/>
      <c r="M54" s="5"/>
      <c r="P54" t="s">
        <v>3</v>
      </c>
      <c r="Q54" t="s">
        <v>117</v>
      </c>
      <c r="R54" s="18">
        <v>952</v>
      </c>
      <c r="S54" s="18">
        <v>824</v>
      </c>
      <c r="T54" s="18">
        <v>950</v>
      </c>
      <c r="U54" s="5"/>
      <c r="V54" s="5"/>
      <c r="W54" s="5"/>
      <c r="X54" s="5"/>
      <c r="AA54" t="s">
        <v>3</v>
      </c>
      <c r="AB54" t="s">
        <v>117</v>
      </c>
      <c r="AC54" s="18">
        <v>2</v>
      </c>
      <c r="AD54" s="18">
        <v>2</v>
      </c>
      <c r="AE54" s="18">
        <v>0</v>
      </c>
      <c r="AF54" s="18">
        <v>6</v>
      </c>
      <c r="AG54" s="18">
        <v>2</v>
      </c>
      <c r="AH54" s="18">
        <v>2</v>
      </c>
      <c r="AI54" s="18">
        <v>2</v>
      </c>
      <c r="AJ54" s="18">
        <v>0</v>
      </c>
      <c r="AK54" s="18">
        <v>6</v>
      </c>
      <c r="AL54" s="18">
        <v>2</v>
      </c>
      <c r="AM54" s="18">
        <v>2</v>
      </c>
      <c r="AN54" s="18">
        <v>3</v>
      </c>
      <c r="AO54" s="18">
        <v>2</v>
      </c>
      <c r="AP54" s="18">
        <v>5</v>
      </c>
      <c r="AQ54" s="18">
        <v>0</v>
      </c>
      <c r="AR54" s="5"/>
      <c r="AS54" s="5"/>
      <c r="AT54" s="5"/>
      <c r="AU54" s="5"/>
      <c r="AV54" s="5"/>
      <c r="AW54" s="5"/>
      <c r="AX54" s="5"/>
      <c r="AY54" s="5"/>
      <c r="AZ54" s="5"/>
      <c r="BA54" s="5"/>
      <c r="BB54" s="5"/>
      <c r="BC54" s="5"/>
      <c r="BD54" s="5"/>
      <c r="BE54" s="5"/>
      <c r="BF54" s="5"/>
      <c r="BJ54" t="s">
        <v>41</v>
      </c>
      <c r="BK54" t="s">
        <v>157</v>
      </c>
      <c r="BL54" s="84">
        <v>7</v>
      </c>
      <c r="BM54" s="84">
        <v>7.2</v>
      </c>
      <c r="BN54" s="84">
        <v>6</v>
      </c>
      <c r="BO54" s="84">
        <v>0.8</v>
      </c>
      <c r="BP54" s="84">
        <v>0.6</v>
      </c>
      <c r="BQ54" s="84">
        <v>0</v>
      </c>
      <c r="BR54" s="84">
        <v>0</v>
      </c>
      <c r="BS54" s="84">
        <v>0</v>
      </c>
      <c r="BT54" s="84">
        <v>0</v>
      </c>
      <c r="BU54" s="84">
        <v>0.7</v>
      </c>
      <c r="BV54" s="84">
        <v>0.8</v>
      </c>
      <c r="BW54" s="84">
        <v>1.8</v>
      </c>
      <c r="BX54" s="84">
        <v>1.6</v>
      </c>
      <c r="BY54" s="84">
        <v>1.2</v>
      </c>
      <c r="BZ54" s="84">
        <v>0</v>
      </c>
      <c r="CA54" s="5"/>
      <c r="CB54" s="5"/>
      <c r="CC54" s="5"/>
      <c r="CD54" s="5"/>
      <c r="CE54" s="5"/>
      <c r="CF54" s="5"/>
      <c r="CG54" s="5"/>
      <c r="CH54" s="5"/>
      <c r="CI54" s="5"/>
      <c r="CJ54" s="5"/>
      <c r="CK54" s="5"/>
      <c r="CL54" s="5"/>
      <c r="CM54" s="5"/>
      <c r="CN54" s="5"/>
      <c r="CO54" s="5"/>
    </row>
    <row r="55" spans="2:93" x14ac:dyDescent="0.3">
      <c r="B55" t="s">
        <v>118</v>
      </c>
      <c r="C55" s="3" t="s">
        <v>210</v>
      </c>
      <c r="D55" s="132" t="str">
        <f>VLOOKUP(C55,Mapping!$AB$2:$AC$8,2,FALSE)</f>
        <v>Age 0 - 6</v>
      </c>
      <c r="E55" s="132" t="str">
        <f t="shared" si="4"/>
        <v>Mansfield (S)Age 0 - 6</v>
      </c>
      <c r="F55" s="132" t="str">
        <f>INDEX(Mapping!$Y:$Y,MATCH($B55,Mapping!$W:$W,0))</f>
        <v>Rural</v>
      </c>
      <c r="G55" s="45">
        <f t="shared" si="6"/>
        <v>534</v>
      </c>
      <c r="H55" s="45">
        <f t="shared" si="6"/>
        <v>521</v>
      </c>
      <c r="I55" s="45">
        <f t="shared" si="6"/>
        <v>515</v>
      </c>
      <c r="J55" s="5"/>
      <c r="K55" s="5"/>
      <c r="L55" s="5"/>
      <c r="M55" s="5"/>
      <c r="P55" t="s">
        <v>3</v>
      </c>
      <c r="Q55" t="s">
        <v>118</v>
      </c>
      <c r="R55" s="18">
        <v>106</v>
      </c>
      <c r="S55" s="18">
        <v>78</v>
      </c>
      <c r="T55" s="18">
        <v>88</v>
      </c>
      <c r="U55" s="5"/>
      <c r="V55" s="5"/>
      <c r="W55" s="5"/>
      <c r="X55" s="5"/>
      <c r="AA55" t="s">
        <v>3</v>
      </c>
      <c r="AB55" t="s">
        <v>118</v>
      </c>
      <c r="AC55" s="18">
        <v>0</v>
      </c>
      <c r="AD55" s="18">
        <v>0</v>
      </c>
      <c r="AE55" s="18">
        <v>1</v>
      </c>
      <c r="AF55" s="18">
        <v>0</v>
      </c>
      <c r="AG55" s="18">
        <v>1</v>
      </c>
      <c r="AH55" s="18">
        <v>0</v>
      </c>
      <c r="AI55" s="18">
        <v>0</v>
      </c>
      <c r="AJ55" s="18">
        <v>0</v>
      </c>
      <c r="AK55" s="18">
        <v>1</v>
      </c>
      <c r="AL55" s="18">
        <v>1</v>
      </c>
      <c r="AM55" s="18">
        <v>0</v>
      </c>
      <c r="AN55" s="18">
        <v>0</v>
      </c>
      <c r="AO55" s="18">
        <v>0</v>
      </c>
      <c r="AP55" s="18">
        <v>1</v>
      </c>
      <c r="AQ55" s="18">
        <v>1</v>
      </c>
      <c r="AR55" s="5"/>
      <c r="AS55" s="5"/>
      <c r="AT55" s="5"/>
      <c r="AU55" s="5"/>
      <c r="AV55" s="5"/>
      <c r="AW55" s="5"/>
      <c r="AX55" s="5"/>
      <c r="AY55" s="5"/>
      <c r="AZ55" s="5"/>
      <c r="BA55" s="5"/>
      <c r="BB55" s="5"/>
      <c r="BC55" s="5"/>
      <c r="BD55" s="5"/>
      <c r="BE55" s="5"/>
      <c r="BF55" s="5"/>
      <c r="BJ55" t="s">
        <v>23</v>
      </c>
      <c r="BK55" t="s">
        <v>138</v>
      </c>
      <c r="BL55" s="84">
        <v>0.7</v>
      </c>
      <c r="BM55" s="84">
        <v>0.7</v>
      </c>
      <c r="BN55" s="84">
        <v>0.8</v>
      </c>
      <c r="BO55" s="84">
        <v>0</v>
      </c>
      <c r="BP55" s="84">
        <v>0</v>
      </c>
      <c r="BQ55" s="84">
        <v>0</v>
      </c>
      <c r="BR55" s="84">
        <v>0.2</v>
      </c>
      <c r="BS55" s="84">
        <v>0.8</v>
      </c>
      <c r="BT55" s="84">
        <v>0.2</v>
      </c>
      <c r="BU55" s="84">
        <v>0.2</v>
      </c>
      <c r="BV55" s="84">
        <v>0.2</v>
      </c>
      <c r="BW55" s="84">
        <v>0.2</v>
      </c>
      <c r="BX55" s="84">
        <v>0</v>
      </c>
      <c r="BY55" s="84">
        <v>0</v>
      </c>
      <c r="BZ55" s="84">
        <v>0</v>
      </c>
      <c r="CA55" s="5"/>
      <c r="CB55" s="5"/>
      <c r="CC55" s="5"/>
      <c r="CD55" s="5"/>
      <c r="CE55" s="5"/>
      <c r="CF55" s="5"/>
      <c r="CG55" s="5"/>
      <c r="CH55" s="5"/>
      <c r="CI55" s="5"/>
      <c r="CJ55" s="5"/>
      <c r="CK55" s="5"/>
      <c r="CL55" s="5"/>
      <c r="CM55" s="5"/>
      <c r="CN55" s="5"/>
      <c r="CO55" s="5"/>
    </row>
    <row r="56" spans="2:93" x14ac:dyDescent="0.3">
      <c r="B56" t="s">
        <v>175</v>
      </c>
      <c r="C56" s="3" t="s">
        <v>210</v>
      </c>
      <c r="D56" s="132" t="str">
        <f>VLOOKUP(C56,Mapping!$AB$2:$AC$8,2,FALSE)</f>
        <v>Age 0 - 6</v>
      </c>
      <c r="E56" s="132" t="str">
        <f t="shared" si="4"/>
        <v>Maribyrnong (C)Age 0 - 6</v>
      </c>
      <c r="F56" s="132" t="str">
        <f>INDEX(Mapping!$Y:$Y,MATCH($B56,Mapping!$W:$W,0))</f>
        <v>Metro</v>
      </c>
      <c r="G56" s="45">
        <f t="shared" si="6"/>
        <v>7792</v>
      </c>
      <c r="H56" s="45">
        <f t="shared" si="6"/>
        <v>7370</v>
      </c>
      <c r="I56" s="45">
        <f t="shared" si="6"/>
        <v>7293</v>
      </c>
      <c r="J56" s="5"/>
      <c r="K56" s="5"/>
      <c r="L56" s="5"/>
      <c r="M56" s="5"/>
      <c r="P56" t="s">
        <v>56</v>
      </c>
      <c r="Q56" t="s">
        <v>175</v>
      </c>
      <c r="R56" s="18">
        <v>1240</v>
      </c>
      <c r="S56" s="18">
        <v>1102</v>
      </c>
      <c r="T56" s="18">
        <v>1128</v>
      </c>
      <c r="U56" s="5"/>
      <c r="V56" s="5"/>
      <c r="W56" s="5"/>
      <c r="X56" s="5"/>
      <c r="AA56" t="s">
        <v>56</v>
      </c>
      <c r="AB56" t="s">
        <v>175</v>
      </c>
      <c r="AC56" s="18">
        <v>5</v>
      </c>
      <c r="AD56" s="18">
        <v>6</v>
      </c>
      <c r="AE56" s="18">
        <v>3</v>
      </c>
      <c r="AF56" s="18">
        <v>4</v>
      </c>
      <c r="AG56" s="18">
        <v>3</v>
      </c>
      <c r="AH56" s="18">
        <v>6</v>
      </c>
      <c r="AI56" s="18">
        <v>0</v>
      </c>
      <c r="AJ56" s="18">
        <v>5</v>
      </c>
      <c r="AK56" s="18">
        <v>7</v>
      </c>
      <c r="AL56" s="18">
        <v>2</v>
      </c>
      <c r="AM56" s="18">
        <v>9</v>
      </c>
      <c r="AN56" s="18">
        <v>2</v>
      </c>
      <c r="AO56" s="18">
        <v>3</v>
      </c>
      <c r="AP56" s="18">
        <v>4</v>
      </c>
      <c r="AQ56" s="18">
        <v>8</v>
      </c>
      <c r="AR56" s="5"/>
      <c r="AS56" s="5"/>
      <c r="AT56" s="5"/>
      <c r="AU56" s="5"/>
      <c r="AV56" s="5"/>
      <c r="AW56" s="5"/>
      <c r="AX56" s="5"/>
      <c r="AY56" s="5"/>
      <c r="AZ56" s="5"/>
      <c r="BA56" s="5"/>
      <c r="BB56" s="5"/>
      <c r="BC56" s="5"/>
      <c r="BD56" s="5"/>
      <c r="BE56" s="5"/>
      <c r="BF56" s="5"/>
      <c r="BJ56" t="s">
        <v>23</v>
      </c>
      <c r="BK56" t="s">
        <v>139</v>
      </c>
      <c r="BL56" s="84">
        <v>4.5</v>
      </c>
      <c r="BM56" s="84">
        <v>4.4000000000000004</v>
      </c>
      <c r="BN56" s="84">
        <v>4.8</v>
      </c>
      <c r="BO56" s="84">
        <v>0.8</v>
      </c>
      <c r="BP56" s="84">
        <v>0.8</v>
      </c>
      <c r="BQ56" s="84">
        <v>0.8</v>
      </c>
      <c r="BR56" s="84">
        <v>0</v>
      </c>
      <c r="BS56" s="84">
        <v>0</v>
      </c>
      <c r="BT56" s="84">
        <v>0</v>
      </c>
      <c r="BU56" s="84">
        <v>0.42</v>
      </c>
      <c r="BV56" s="84">
        <v>0.42</v>
      </c>
      <c r="BW56" s="84">
        <v>0.4</v>
      </c>
      <c r="BX56" s="84">
        <v>0</v>
      </c>
      <c r="BY56" s="84">
        <v>0</v>
      </c>
      <c r="BZ56" s="84">
        <v>0.5</v>
      </c>
      <c r="CA56" s="5"/>
      <c r="CB56" s="5"/>
      <c r="CC56" s="5"/>
      <c r="CD56" s="5"/>
      <c r="CE56" s="5"/>
      <c r="CF56" s="5"/>
      <c r="CG56" s="5"/>
      <c r="CH56" s="5"/>
      <c r="CI56" s="5"/>
      <c r="CJ56" s="5"/>
      <c r="CK56" s="5"/>
      <c r="CL56" s="5"/>
      <c r="CM56" s="5"/>
      <c r="CN56" s="5"/>
      <c r="CO56" s="5"/>
    </row>
    <row r="57" spans="2:93" x14ac:dyDescent="0.3">
      <c r="B57" t="s">
        <v>119</v>
      </c>
      <c r="C57" s="3" t="s">
        <v>210</v>
      </c>
      <c r="D57" s="132" t="str">
        <f>VLOOKUP(C57,Mapping!$AB$2:$AC$8,2,FALSE)</f>
        <v>Age 0 - 6</v>
      </c>
      <c r="E57" s="132" t="str">
        <f t="shared" si="4"/>
        <v>Maroondah (C)Age 0 - 6</v>
      </c>
      <c r="F57" s="132" t="str">
        <f>INDEX(Mapping!$Y:$Y,MATCH($B57,Mapping!$W:$W,0))</f>
        <v>Metro</v>
      </c>
      <c r="G57" s="45">
        <f t="shared" si="6"/>
        <v>9388</v>
      </c>
      <c r="H57" s="45">
        <f t="shared" si="6"/>
        <v>9371</v>
      </c>
      <c r="I57" s="45">
        <f t="shared" si="6"/>
        <v>9324</v>
      </c>
      <c r="J57" s="5"/>
      <c r="K57" s="5"/>
      <c r="L57" s="5"/>
      <c r="M57" s="5"/>
      <c r="P57" t="s">
        <v>3</v>
      </c>
      <c r="Q57" t="s">
        <v>119</v>
      </c>
      <c r="R57" s="18">
        <v>1464</v>
      </c>
      <c r="S57" s="18">
        <v>1405</v>
      </c>
      <c r="T57" s="18">
        <v>1481</v>
      </c>
      <c r="U57" s="5"/>
      <c r="V57" s="5"/>
      <c r="W57" s="5"/>
      <c r="X57" s="5"/>
      <c r="AA57" t="s">
        <v>3</v>
      </c>
      <c r="AB57" t="s">
        <v>119</v>
      </c>
      <c r="AC57" s="18">
        <v>7</v>
      </c>
      <c r="AD57" s="18">
        <v>5</v>
      </c>
      <c r="AE57" s="18">
        <v>4</v>
      </c>
      <c r="AF57" s="18">
        <v>0</v>
      </c>
      <c r="AG57" s="18">
        <v>4</v>
      </c>
      <c r="AH57" s="18">
        <v>7</v>
      </c>
      <c r="AI57" s="18">
        <v>5</v>
      </c>
      <c r="AJ57" s="18">
        <v>4</v>
      </c>
      <c r="AK57" s="18">
        <v>4</v>
      </c>
      <c r="AL57" s="18">
        <v>4</v>
      </c>
      <c r="AM57" s="18">
        <v>8</v>
      </c>
      <c r="AN57" s="18">
        <v>3</v>
      </c>
      <c r="AO57" s="18">
        <v>7</v>
      </c>
      <c r="AP57" s="18">
        <v>7</v>
      </c>
      <c r="AQ57" s="18">
        <v>5</v>
      </c>
      <c r="AR57" s="5"/>
      <c r="AS57" s="5"/>
      <c r="AT57" s="5"/>
      <c r="AU57" s="5"/>
      <c r="AV57" s="5"/>
      <c r="AW57" s="5"/>
      <c r="AX57" s="5"/>
      <c r="AY57" s="5"/>
      <c r="AZ57" s="5"/>
      <c r="BA57" s="5"/>
      <c r="BB57" s="5"/>
      <c r="BC57" s="5"/>
      <c r="BD57" s="5"/>
      <c r="BE57" s="5"/>
      <c r="BF57" s="5"/>
      <c r="BJ57" t="s">
        <v>3</v>
      </c>
      <c r="BK57" t="s">
        <v>117</v>
      </c>
      <c r="BL57" s="84">
        <v>9.61</v>
      </c>
      <c r="BM57" s="84">
        <v>7.88</v>
      </c>
      <c r="BN57" s="84">
        <v>7.6</v>
      </c>
      <c r="BO57" s="84">
        <v>0</v>
      </c>
      <c r="BP57" s="84">
        <v>1</v>
      </c>
      <c r="BQ57" s="84">
        <v>1</v>
      </c>
      <c r="BR57" s="84">
        <v>0</v>
      </c>
      <c r="BS57" s="84">
        <v>0</v>
      </c>
      <c r="BT57" s="84">
        <v>0</v>
      </c>
      <c r="BU57" s="84">
        <v>0</v>
      </c>
      <c r="BV57" s="84">
        <v>0.63</v>
      </c>
      <c r="BW57" s="84">
        <v>0.6</v>
      </c>
      <c r="BX57" s="84">
        <v>0</v>
      </c>
      <c r="BY57" s="84">
        <v>0</v>
      </c>
      <c r="BZ57" s="84">
        <v>0</v>
      </c>
      <c r="CA57" s="5"/>
      <c r="CB57" s="5"/>
      <c r="CC57" s="5"/>
      <c r="CD57" s="5"/>
      <c r="CE57" s="5"/>
      <c r="CF57" s="5"/>
      <c r="CG57" s="5"/>
      <c r="CH57" s="5"/>
      <c r="CI57" s="5"/>
      <c r="CJ57" s="5"/>
      <c r="CK57" s="5"/>
      <c r="CL57" s="5"/>
      <c r="CM57" s="5"/>
      <c r="CN57" s="5"/>
      <c r="CO57" s="5"/>
    </row>
    <row r="58" spans="2:93" x14ac:dyDescent="0.3">
      <c r="B58" t="s">
        <v>176</v>
      </c>
      <c r="C58" s="3" t="s">
        <v>210</v>
      </c>
      <c r="D58" s="132" t="str">
        <f>VLOOKUP(C58,Mapping!$AB$2:$AC$8,2,FALSE)</f>
        <v>Age 0 - 6</v>
      </c>
      <c r="E58" s="132" t="str">
        <f t="shared" si="4"/>
        <v>Melbourne (C)Age 0 - 6</v>
      </c>
      <c r="F58" s="132" t="str">
        <f>INDEX(Mapping!$Y:$Y,MATCH($B58,Mapping!$W:$W,0))</f>
        <v>Metro</v>
      </c>
      <c r="G58" s="45">
        <f t="shared" si="6"/>
        <v>5972</v>
      </c>
      <c r="H58" s="45">
        <f t="shared" si="6"/>
        <v>6283</v>
      </c>
      <c r="I58" s="45">
        <f t="shared" si="6"/>
        <v>6592</v>
      </c>
      <c r="J58" s="5"/>
      <c r="K58" s="5"/>
      <c r="L58" s="5"/>
      <c r="M58" s="5"/>
      <c r="P58" t="s">
        <v>56</v>
      </c>
      <c r="Q58" t="s">
        <v>176</v>
      </c>
      <c r="R58" s="18">
        <v>788</v>
      </c>
      <c r="S58" s="18">
        <v>778</v>
      </c>
      <c r="T58" s="18">
        <v>846</v>
      </c>
      <c r="U58" s="5"/>
      <c r="V58" s="5"/>
      <c r="W58" s="5"/>
      <c r="X58" s="5"/>
      <c r="AA58" t="s">
        <v>56</v>
      </c>
      <c r="AB58" t="s">
        <v>176</v>
      </c>
      <c r="AC58" s="18">
        <v>8</v>
      </c>
      <c r="AD58" s="18">
        <v>8</v>
      </c>
      <c r="AE58" s="18">
        <v>7</v>
      </c>
      <c r="AF58" s="18">
        <v>1</v>
      </c>
      <c r="AG58" s="18">
        <v>1</v>
      </c>
      <c r="AH58" s="18">
        <v>7</v>
      </c>
      <c r="AI58" s="18">
        <v>4</v>
      </c>
      <c r="AJ58" s="18">
        <v>9</v>
      </c>
      <c r="AK58" s="18">
        <v>2</v>
      </c>
      <c r="AL58" s="18">
        <v>3</v>
      </c>
      <c r="AM58" s="18">
        <v>10</v>
      </c>
      <c r="AN58" s="18">
        <v>0</v>
      </c>
      <c r="AO58" s="18">
        <v>13</v>
      </c>
      <c r="AP58" s="18">
        <v>1</v>
      </c>
      <c r="AQ58" s="18">
        <v>3</v>
      </c>
      <c r="AR58" s="5"/>
      <c r="AS58" s="5"/>
      <c r="AT58" s="5"/>
      <c r="AU58" s="5"/>
      <c r="AV58" s="5"/>
      <c r="AW58" s="5"/>
      <c r="AX58" s="5"/>
      <c r="AY58" s="5"/>
      <c r="AZ58" s="5"/>
      <c r="BA58" s="5"/>
      <c r="BB58" s="5"/>
      <c r="BC58" s="5"/>
      <c r="BD58" s="5"/>
      <c r="BE58" s="5"/>
      <c r="BF58" s="5"/>
      <c r="BJ58" t="s">
        <v>3</v>
      </c>
      <c r="BK58" t="s">
        <v>118</v>
      </c>
      <c r="BL58" s="84">
        <v>0</v>
      </c>
      <c r="BM58" s="84">
        <v>0.7</v>
      </c>
      <c r="BN58" s="84">
        <v>0.72</v>
      </c>
      <c r="BO58" s="84">
        <v>0.5</v>
      </c>
      <c r="BP58" s="84">
        <v>0.1</v>
      </c>
      <c r="BQ58" s="84">
        <v>0.1</v>
      </c>
      <c r="BR58" s="84">
        <v>0</v>
      </c>
      <c r="BS58" s="84">
        <v>0</v>
      </c>
      <c r="BT58" s="84">
        <v>0</v>
      </c>
      <c r="BU58" s="84">
        <v>0.6</v>
      </c>
      <c r="BV58" s="84">
        <v>0.4</v>
      </c>
      <c r="BW58" s="84">
        <v>0.31</v>
      </c>
      <c r="BX58" s="84">
        <v>0</v>
      </c>
      <c r="BY58" s="84">
        <v>0</v>
      </c>
      <c r="BZ58" s="84">
        <v>0</v>
      </c>
      <c r="CA58" s="5"/>
      <c r="CB58" s="5"/>
      <c r="CC58" s="5"/>
      <c r="CD58" s="5"/>
      <c r="CE58" s="5"/>
      <c r="CF58" s="5"/>
      <c r="CG58" s="5"/>
      <c r="CH58" s="5"/>
      <c r="CI58" s="5"/>
      <c r="CJ58" s="5"/>
      <c r="CK58" s="5"/>
      <c r="CL58" s="5"/>
      <c r="CM58" s="5"/>
      <c r="CN58" s="5"/>
      <c r="CO58" s="5"/>
    </row>
    <row r="59" spans="2:93" x14ac:dyDescent="0.3">
      <c r="B59" t="s">
        <v>177</v>
      </c>
      <c r="C59" s="3" t="s">
        <v>210</v>
      </c>
      <c r="D59" s="132" t="str">
        <f>VLOOKUP(C59,Mapping!$AB$2:$AC$8,2,FALSE)</f>
        <v>Age 0 - 6</v>
      </c>
      <c r="E59" s="132" t="str">
        <f t="shared" si="4"/>
        <v>Melton (C)Age 0 - 6</v>
      </c>
      <c r="F59" s="132" t="str">
        <f>INDEX(Mapping!$Y:$Y,MATCH($B59,Mapping!$W:$W,0))</f>
        <v>Interface</v>
      </c>
      <c r="G59" s="45">
        <f t="shared" si="6"/>
        <v>14055</v>
      </c>
      <c r="H59" s="45">
        <f t="shared" si="6"/>
        <v>14475</v>
      </c>
      <c r="I59" s="45">
        <f t="shared" si="6"/>
        <v>14898</v>
      </c>
      <c r="J59" s="5"/>
      <c r="K59" s="5"/>
      <c r="L59" s="5"/>
      <c r="M59" s="5"/>
      <c r="P59" t="s">
        <v>56</v>
      </c>
      <c r="Q59" t="s">
        <v>177</v>
      </c>
      <c r="R59" s="18">
        <v>3376</v>
      </c>
      <c r="S59" s="18">
        <v>3348</v>
      </c>
      <c r="T59" s="18">
        <v>3701</v>
      </c>
      <c r="U59" s="5"/>
      <c r="V59" s="5"/>
      <c r="W59" s="5"/>
      <c r="X59" s="5"/>
      <c r="AA59" t="s">
        <v>56</v>
      </c>
      <c r="AB59" t="s">
        <v>177</v>
      </c>
      <c r="AC59" s="18">
        <v>4</v>
      </c>
      <c r="AD59" s="18">
        <v>6</v>
      </c>
      <c r="AE59" s="18">
        <v>3</v>
      </c>
      <c r="AF59" s="18">
        <v>10</v>
      </c>
      <c r="AG59" s="18">
        <v>7</v>
      </c>
      <c r="AH59" s="18">
        <v>6</v>
      </c>
      <c r="AI59" s="18">
        <v>2</v>
      </c>
      <c r="AJ59" s="18">
        <v>6</v>
      </c>
      <c r="AK59" s="18">
        <v>9</v>
      </c>
      <c r="AL59" s="18">
        <v>8</v>
      </c>
      <c r="AM59" s="18">
        <v>0</v>
      </c>
      <c r="AN59" s="18">
        <v>0</v>
      </c>
      <c r="AO59" s="18">
        <v>0</v>
      </c>
      <c r="AP59" s="18">
        <v>0</v>
      </c>
      <c r="AQ59" s="18">
        <v>0</v>
      </c>
      <c r="AR59" s="5"/>
      <c r="AS59" s="5"/>
      <c r="AT59" s="5"/>
      <c r="AU59" s="5"/>
      <c r="AV59" s="5"/>
      <c r="AW59" s="5"/>
      <c r="AX59" s="5"/>
      <c r="AY59" s="5"/>
      <c r="AZ59" s="5"/>
      <c r="BA59" s="5"/>
      <c r="BB59" s="5"/>
      <c r="BC59" s="5"/>
      <c r="BD59" s="5"/>
      <c r="BE59" s="5"/>
      <c r="BF59" s="5"/>
      <c r="BJ59" t="s">
        <v>56</v>
      </c>
      <c r="BK59" t="s">
        <v>175</v>
      </c>
      <c r="BL59" s="84">
        <v>10.8</v>
      </c>
      <c r="BM59" s="84">
        <v>11.4</v>
      </c>
      <c r="BN59" s="84">
        <v>12</v>
      </c>
      <c r="BO59" s="84">
        <v>2.2000000000000002</v>
      </c>
      <c r="BP59" s="84">
        <v>1</v>
      </c>
      <c r="BQ59" s="84">
        <v>0</v>
      </c>
      <c r="BR59" s="84">
        <v>0</v>
      </c>
      <c r="BS59" s="84">
        <v>0</v>
      </c>
      <c r="BT59" s="84">
        <v>0</v>
      </c>
      <c r="BU59" s="84">
        <v>0.8</v>
      </c>
      <c r="BV59" s="84">
        <v>0.8</v>
      </c>
      <c r="BW59" s="84">
        <v>0.8</v>
      </c>
      <c r="BX59" s="84">
        <v>1</v>
      </c>
      <c r="BY59" s="84">
        <v>1</v>
      </c>
      <c r="BZ59" s="84">
        <v>0.6</v>
      </c>
      <c r="CA59" s="5"/>
      <c r="CB59" s="5"/>
      <c r="CC59" s="5"/>
      <c r="CD59" s="5"/>
      <c r="CE59" s="5"/>
      <c r="CF59" s="5"/>
      <c r="CG59" s="5"/>
      <c r="CH59" s="5"/>
      <c r="CI59" s="5"/>
      <c r="CJ59" s="5"/>
      <c r="CK59" s="5"/>
      <c r="CL59" s="5"/>
      <c r="CM59" s="5"/>
      <c r="CN59" s="5"/>
      <c r="CO59" s="5"/>
    </row>
    <row r="60" spans="2:93" x14ac:dyDescent="0.3">
      <c r="B60" t="s">
        <v>140</v>
      </c>
      <c r="C60" s="3" t="s">
        <v>210</v>
      </c>
      <c r="D60" s="132" t="str">
        <f>VLOOKUP(C60,Mapping!$AB$2:$AC$8,2,FALSE)</f>
        <v>Age 0 - 6</v>
      </c>
      <c r="E60" s="132" t="str">
        <f t="shared" si="4"/>
        <v>Mildura (RC)Age 0 - 6</v>
      </c>
      <c r="F60" s="132" t="str">
        <f>INDEX(Mapping!$Y:$Y,MATCH($B60,Mapping!$W:$W,0))</f>
        <v>Rural</v>
      </c>
      <c r="G60" s="45">
        <f t="shared" si="6"/>
        <v>4164</v>
      </c>
      <c r="H60" s="45">
        <f t="shared" si="6"/>
        <v>4241</v>
      </c>
      <c r="I60" s="45">
        <f t="shared" si="6"/>
        <v>4147</v>
      </c>
      <c r="J60" s="5"/>
      <c r="K60" s="5"/>
      <c r="L60" s="5"/>
      <c r="M60" s="5"/>
      <c r="P60" t="s">
        <v>23</v>
      </c>
      <c r="Q60" t="s">
        <v>140</v>
      </c>
      <c r="R60" s="18">
        <v>1486</v>
      </c>
      <c r="S60" s="18">
        <v>1359</v>
      </c>
      <c r="T60" s="18">
        <v>1429</v>
      </c>
      <c r="U60" s="5"/>
      <c r="V60" s="5"/>
      <c r="W60" s="5"/>
      <c r="X60" s="5"/>
      <c r="AA60" t="s">
        <v>23</v>
      </c>
      <c r="AB60" t="s">
        <v>140</v>
      </c>
      <c r="AC60" s="18">
        <v>5</v>
      </c>
      <c r="AD60" s="18">
        <v>2</v>
      </c>
      <c r="AE60" s="18">
        <v>0</v>
      </c>
      <c r="AF60" s="18">
        <v>1</v>
      </c>
      <c r="AG60" s="18">
        <v>2</v>
      </c>
      <c r="AH60" s="18">
        <v>4</v>
      </c>
      <c r="AI60" s="18">
        <v>3</v>
      </c>
      <c r="AJ60" s="18">
        <v>1</v>
      </c>
      <c r="AK60" s="18">
        <v>2</v>
      </c>
      <c r="AL60" s="18">
        <v>3</v>
      </c>
      <c r="AM60" s="18">
        <v>4</v>
      </c>
      <c r="AN60" s="18">
        <v>3</v>
      </c>
      <c r="AO60" s="18">
        <v>2</v>
      </c>
      <c r="AP60" s="18">
        <v>2</v>
      </c>
      <c r="AQ60" s="18">
        <v>2</v>
      </c>
      <c r="AR60" s="5"/>
      <c r="AS60" s="5"/>
      <c r="AT60" s="5"/>
      <c r="AU60" s="5"/>
      <c r="AV60" s="5"/>
      <c r="AW60" s="5"/>
      <c r="AX60" s="5"/>
      <c r="AY60" s="5"/>
      <c r="AZ60" s="5"/>
      <c r="BA60" s="5"/>
      <c r="BB60" s="5"/>
      <c r="BC60" s="5"/>
      <c r="BD60" s="5"/>
      <c r="BE60" s="5"/>
      <c r="BF60" s="5"/>
      <c r="BJ60" t="s">
        <v>3</v>
      </c>
      <c r="BK60" t="s">
        <v>119</v>
      </c>
      <c r="BL60" s="84">
        <v>10.4</v>
      </c>
      <c r="BM60" s="84">
        <v>10.6</v>
      </c>
      <c r="BN60" s="84">
        <v>11.7</v>
      </c>
      <c r="BO60" s="84">
        <v>1</v>
      </c>
      <c r="BP60" s="84">
        <v>1</v>
      </c>
      <c r="BQ60" s="84">
        <v>1</v>
      </c>
      <c r="BR60" s="84">
        <v>0</v>
      </c>
      <c r="BS60" s="84">
        <v>0</v>
      </c>
      <c r="BT60" s="84">
        <v>0</v>
      </c>
      <c r="BU60" s="84">
        <v>0.6</v>
      </c>
      <c r="BV60" s="84">
        <v>0.8</v>
      </c>
      <c r="BW60" s="84">
        <v>1.1000000000000001</v>
      </c>
      <c r="BX60" s="84">
        <v>0.6</v>
      </c>
      <c r="BY60" s="84">
        <v>0.6</v>
      </c>
      <c r="BZ60" s="84">
        <v>0.4</v>
      </c>
      <c r="CA60" s="5"/>
      <c r="CB60" s="5"/>
      <c r="CC60" s="5"/>
      <c r="CD60" s="5"/>
      <c r="CE60" s="5"/>
      <c r="CF60" s="5"/>
      <c r="CG60" s="5"/>
      <c r="CH60" s="5"/>
      <c r="CI60" s="5"/>
      <c r="CJ60" s="5"/>
      <c r="CK60" s="5"/>
      <c r="CL60" s="5"/>
      <c r="CM60" s="5"/>
      <c r="CN60" s="5"/>
      <c r="CO60" s="5"/>
    </row>
    <row r="61" spans="2:93" x14ac:dyDescent="0.3">
      <c r="B61" t="s">
        <v>120</v>
      </c>
      <c r="C61" s="3" t="s">
        <v>210</v>
      </c>
      <c r="D61" s="132" t="str">
        <f>VLOOKUP(C61,Mapping!$AB$2:$AC$8,2,FALSE)</f>
        <v>Age 0 - 6</v>
      </c>
      <c r="E61" s="132" t="str">
        <f t="shared" si="4"/>
        <v>Mitchell (S)Age 0 - 6</v>
      </c>
      <c r="F61" s="132" t="str">
        <f>INDEX(Mapping!$Y:$Y,MATCH($B61,Mapping!$W:$W,0))</f>
        <v>Interface</v>
      </c>
      <c r="G61" s="45">
        <f t="shared" si="6"/>
        <v>3894</v>
      </c>
      <c r="H61" s="45">
        <f t="shared" si="6"/>
        <v>3423</v>
      </c>
      <c r="I61" s="45">
        <f t="shared" si="6"/>
        <v>3486</v>
      </c>
      <c r="J61" s="5"/>
      <c r="K61" s="5"/>
      <c r="L61" s="5"/>
      <c r="M61" s="5"/>
      <c r="P61" t="s">
        <v>3</v>
      </c>
      <c r="Q61" t="s">
        <v>120</v>
      </c>
      <c r="R61" s="18">
        <v>806</v>
      </c>
      <c r="S61" s="18">
        <v>809</v>
      </c>
      <c r="T61" s="18">
        <v>853</v>
      </c>
      <c r="U61" s="5"/>
      <c r="V61" s="5"/>
      <c r="W61" s="5"/>
      <c r="X61" s="5"/>
      <c r="AA61" t="s">
        <v>3</v>
      </c>
      <c r="AB61" t="s">
        <v>120</v>
      </c>
      <c r="AC61" s="18">
        <v>2</v>
      </c>
      <c r="AD61" s="18">
        <v>3</v>
      </c>
      <c r="AE61" s="18">
        <v>4</v>
      </c>
      <c r="AF61" s="18">
        <v>2</v>
      </c>
      <c r="AG61" s="18">
        <v>3</v>
      </c>
      <c r="AH61" s="18">
        <v>1</v>
      </c>
      <c r="AI61" s="18">
        <v>2</v>
      </c>
      <c r="AJ61" s="18">
        <v>3</v>
      </c>
      <c r="AK61" s="18">
        <v>4</v>
      </c>
      <c r="AL61" s="18">
        <v>2</v>
      </c>
      <c r="AM61" s="18">
        <v>2</v>
      </c>
      <c r="AN61" s="18">
        <v>3</v>
      </c>
      <c r="AO61" s="18">
        <v>4</v>
      </c>
      <c r="AP61" s="18">
        <v>2</v>
      </c>
      <c r="AQ61" s="18">
        <v>1</v>
      </c>
      <c r="AR61" s="5"/>
      <c r="AS61" s="5"/>
      <c r="AT61" s="5"/>
      <c r="AU61" s="5"/>
      <c r="AV61" s="5"/>
      <c r="AW61" s="5"/>
      <c r="AX61" s="5"/>
      <c r="AY61" s="5"/>
      <c r="AZ61" s="5"/>
      <c r="BA61" s="5"/>
      <c r="BB61" s="5"/>
      <c r="BC61" s="5"/>
      <c r="BD61" s="5"/>
      <c r="BE61" s="5"/>
      <c r="BF61" s="5"/>
      <c r="BJ61" t="s">
        <v>56</v>
      </c>
      <c r="BK61" t="s">
        <v>176</v>
      </c>
      <c r="BL61" s="84">
        <v>13.6</v>
      </c>
      <c r="BM61" s="84">
        <v>14.8</v>
      </c>
      <c r="BN61" s="84">
        <v>16.8</v>
      </c>
      <c r="BO61" s="84">
        <v>2</v>
      </c>
      <c r="BP61" s="84">
        <v>3</v>
      </c>
      <c r="BQ61" s="84">
        <v>1</v>
      </c>
      <c r="BR61" s="84">
        <v>0</v>
      </c>
      <c r="BS61" s="84">
        <v>0</v>
      </c>
      <c r="BT61" s="84">
        <v>0</v>
      </c>
      <c r="BU61" s="84">
        <v>1</v>
      </c>
      <c r="BV61" s="84">
        <v>1</v>
      </c>
      <c r="BW61" s="84">
        <v>1</v>
      </c>
      <c r="BX61" s="84">
        <v>0</v>
      </c>
      <c r="BY61" s="84">
        <v>0</v>
      </c>
      <c r="BZ61" s="84">
        <v>0</v>
      </c>
      <c r="CA61" s="5"/>
      <c r="CB61" s="5"/>
      <c r="CC61" s="5"/>
      <c r="CD61" s="5"/>
      <c r="CE61" s="5"/>
      <c r="CF61" s="5"/>
      <c r="CG61" s="5"/>
      <c r="CH61" s="5"/>
      <c r="CI61" s="5"/>
      <c r="CJ61" s="5"/>
      <c r="CK61" s="5"/>
      <c r="CL61" s="5"/>
      <c r="CM61" s="5"/>
      <c r="CN61" s="5"/>
      <c r="CO61" s="5"/>
    </row>
    <row r="62" spans="2:93" x14ac:dyDescent="0.3">
      <c r="B62" t="s">
        <v>121</v>
      </c>
      <c r="C62" s="3" t="s">
        <v>210</v>
      </c>
      <c r="D62" s="132" t="str">
        <f>VLOOKUP(C62,Mapping!$AB$2:$AC$8,2,FALSE)</f>
        <v>Age 0 - 6</v>
      </c>
      <c r="E62" s="132" t="str">
        <f t="shared" si="4"/>
        <v>Moira (S)Age 0 - 6</v>
      </c>
      <c r="F62" s="132" t="str">
        <f>INDEX(Mapping!$Y:$Y,MATCH($B62,Mapping!$W:$W,0))</f>
        <v>Rural</v>
      </c>
      <c r="G62" s="45">
        <f t="shared" si="6"/>
        <v>2388</v>
      </c>
      <c r="H62" s="45">
        <f t="shared" si="6"/>
        <v>2316</v>
      </c>
      <c r="I62" s="45">
        <f t="shared" si="6"/>
        <v>2250</v>
      </c>
      <c r="J62" s="5"/>
      <c r="K62" s="5"/>
      <c r="L62" s="5"/>
      <c r="M62" s="5"/>
      <c r="P62" t="s">
        <v>3</v>
      </c>
      <c r="Q62" t="s">
        <v>121</v>
      </c>
      <c r="R62" s="18">
        <v>635</v>
      </c>
      <c r="S62" s="18">
        <v>552</v>
      </c>
      <c r="T62" s="18">
        <v>606</v>
      </c>
      <c r="U62" s="5"/>
      <c r="V62" s="5"/>
      <c r="W62" s="5"/>
      <c r="X62" s="5"/>
      <c r="AA62" t="s">
        <v>3</v>
      </c>
      <c r="AB62" t="s">
        <v>121</v>
      </c>
      <c r="AC62" s="18">
        <v>4</v>
      </c>
      <c r="AD62" s="18">
        <v>3</v>
      </c>
      <c r="AE62" s="18">
        <v>3</v>
      </c>
      <c r="AF62" s="18">
        <v>0</v>
      </c>
      <c r="AG62" s="18">
        <v>4</v>
      </c>
      <c r="AH62" s="18">
        <v>3</v>
      </c>
      <c r="AI62" s="18">
        <v>5</v>
      </c>
      <c r="AJ62" s="18">
        <v>2</v>
      </c>
      <c r="AK62" s="18">
        <v>0</v>
      </c>
      <c r="AL62" s="18">
        <v>4</v>
      </c>
      <c r="AM62" s="18">
        <v>4</v>
      </c>
      <c r="AN62" s="18">
        <v>6</v>
      </c>
      <c r="AO62" s="18">
        <v>2</v>
      </c>
      <c r="AP62" s="18">
        <v>0</v>
      </c>
      <c r="AQ62" s="18">
        <v>4</v>
      </c>
      <c r="AR62" s="5"/>
      <c r="AS62" s="5"/>
      <c r="AT62" s="5"/>
      <c r="AU62" s="5"/>
      <c r="AV62" s="5"/>
      <c r="AW62" s="5"/>
      <c r="AX62" s="5"/>
      <c r="AY62" s="5"/>
      <c r="AZ62" s="5"/>
      <c r="BA62" s="5"/>
      <c r="BB62" s="5"/>
      <c r="BC62" s="5"/>
      <c r="BD62" s="5"/>
      <c r="BE62" s="5"/>
      <c r="BF62" s="5"/>
      <c r="BJ62" t="s">
        <v>56</v>
      </c>
      <c r="BK62" t="s">
        <v>177</v>
      </c>
      <c r="BL62" s="84">
        <v>17.5</v>
      </c>
      <c r="BM62" s="84">
        <v>19.5</v>
      </c>
      <c r="BN62" s="84">
        <v>18.670000000000002</v>
      </c>
      <c r="BO62" s="84">
        <v>3</v>
      </c>
      <c r="BP62" s="84">
        <v>3</v>
      </c>
      <c r="BQ62" s="84">
        <v>1</v>
      </c>
      <c r="BR62" s="84">
        <v>0</v>
      </c>
      <c r="BS62" s="84">
        <v>0</v>
      </c>
      <c r="BT62" s="84">
        <v>0</v>
      </c>
      <c r="BU62" s="84">
        <v>0.8</v>
      </c>
      <c r="BV62" s="84">
        <v>1.8</v>
      </c>
      <c r="BW62" s="84">
        <v>2.8</v>
      </c>
      <c r="BX62" s="84">
        <v>1.8</v>
      </c>
      <c r="BY62" s="84">
        <v>1.2</v>
      </c>
      <c r="BZ62" s="84">
        <v>0</v>
      </c>
      <c r="CA62" s="5"/>
      <c r="CB62" s="5"/>
      <c r="CC62" s="5"/>
      <c r="CD62" s="5"/>
      <c r="CE62" s="5"/>
      <c r="CF62" s="5"/>
      <c r="CG62" s="5"/>
      <c r="CH62" s="5"/>
      <c r="CI62" s="5"/>
      <c r="CJ62" s="5"/>
      <c r="CK62" s="5"/>
      <c r="CL62" s="5"/>
      <c r="CM62" s="5"/>
      <c r="CN62" s="5"/>
      <c r="CO62" s="5"/>
    </row>
    <row r="63" spans="2:93" x14ac:dyDescent="0.3">
      <c r="B63" t="s">
        <v>122</v>
      </c>
      <c r="C63" s="3" t="s">
        <v>210</v>
      </c>
      <c r="D63" s="132" t="str">
        <f>VLOOKUP(C63,Mapping!$AB$2:$AC$8,2,FALSE)</f>
        <v>Age 0 - 6</v>
      </c>
      <c r="E63" s="132" t="str">
        <f t="shared" si="4"/>
        <v>Monash (C)Age 0 - 6</v>
      </c>
      <c r="F63" s="132" t="str">
        <f>INDEX(Mapping!$Y:$Y,MATCH($B63,Mapping!$W:$W,0))</f>
        <v>Metro</v>
      </c>
      <c r="G63" s="45">
        <f t="shared" si="6"/>
        <v>11641</v>
      </c>
      <c r="H63" s="45">
        <f t="shared" si="6"/>
        <v>11782</v>
      </c>
      <c r="I63" s="45">
        <f t="shared" si="6"/>
        <v>11185</v>
      </c>
      <c r="J63" s="5"/>
      <c r="K63" s="5"/>
      <c r="L63" s="5"/>
      <c r="M63" s="5"/>
      <c r="P63" t="s">
        <v>3</v>
      </c>
      <c r="Q63" t="s">
        <v>122</v>
      </c>
      <c r="R63" s="18">
        <v>1689</v>
      </c>
      <c r="S63" s="18">
        <v>1475</v>
      </c>
      <c r="T63" s="18">
        <v>1563</v>
      </c>
      <c r="U63" s="5"/>
      <c r="V63" s="5"/>
      <c r="W63" s="5"/>
      <c r="X63" s="5"/>
      <c r="AA63" t="s">
        <v>3</v>
      </c>
      <c r="AB63" t="s">
        <v>122</v>
      </c>
      <c r="AC63" s="18">
        <v>4</v>
      </c>
      <c r="AD63" s="18">
        <v>8</v>
      </c>
      <c r="AE63" s="18">
        <v>6</v>
      </c>
      <c r="AF63" s="18">
        <v>4</v>
      </c>
      <c r="AG63" s="18">
        <v>2</v>
      </c>
      <c r="AH63" s="18">
        <v>4</v>
      </c>
      <c r="AI63" s="18">
        <v>7</v>
      </c>
      <c r="AJ63" s="18">
        <v>7</v>
      </c>
      <c r="AK63" s="18">
        <v>3</v>
      </c>
      <c r="AL63" s="18">
        <v>3</v>
      </c>
      <c r="AM63" s="18">
        <v>4</v>
      </c>
      <c r="AN63" s="18">
        <v>8</v>
      </c>
      <c r="AO63" s="18">
        <v>4</v>
      </c>
      <c r="AP63" s="18">
        <v>2</v>
      </c>
      <c r="AQ63" s="18">
        <v>5</v>
      </c>
      <c r="AR63" s="5"/>
      <c r="AS63" s="5"/>
      <c r="AT63" s="5"/>
      <c r="AU63" s="5"/>
      <c r="AV63" s="5"/>
      <c r="AW63" s="5"/>
      <c r="AX63" s="5"/>
      <c r="AY63" s="5"/>
      <c r="AZ63" s="5"/>
      <c r="BA63" s="5"/>
      <c r="BB63" s="5"/>
      <c r="BC63" s="5"/>
      <c r="BD63" s="5"/>
      <c r="BE63" s="5"/>
      <c r="BF63" s="5"/>
      <c r="BJ63" t="s">
        <v>23</v>
      </c>
      <c r="BK63" t="s">
        <v>140</v>
      </c>
      <c r="BL63" s="84">
        <v>6.4</v>
      </c>
      <c r="BM63" s="84">
        <v>6.25</v>
      </c>
      <c r="BN63" s="84">
        <v>7.1</v>
      </c>
      <c r="BO63" s="84">
        <v>1</v>
      </c>
      <c r="BP63" s="84">
        <v>1</v>
      </c>
      <c r="BQ63" s="84">
        <v>1</v>
      </c>
      <c r="BR63" s="84">
        <v>0</v>
      </c>
      <c r="BS63" s="84">
        <v>0</v>
      </c>
      <c r="BT63" s="84">
        <v>0</v>
      </c>
      <c r="BU63" s="84">
        <v>1</v>
      </c>
      <c r="BV63" s="84">
        <v>1</v>
      </c>
      <c r="BW63" s="84">
        <v>1.2</v>
      </c>
      <c r="BX63" s="84">
        <v>1.1000000000000001</v>
      </c>
      <c r="BY63" s="84">
        <v>0.89</v>
      </c>
      <c r="BZ63" s="84">
        <v>0.39</v>
      </c>
      <c r="CA63" s="5"/>
      <c r="CB63" s="5"/>
      <c r="CC63" s="5"/>
      <c r="CD63" s="5"/>
      <c r="CE63" s="5"/>
      <c r="CF63" s="5"/>
      <c r="CG63" s="5"/>
      <c r="CH63" s="5"/>
      <c r="CI63" s="5"/>
      <c r="CJ63" s="5"/>
      <c r="CK63" s="5"/>
      <c r="CL63" s="5"/>
      <c r="CM63" s="5"/>
      <c r="CN63" s="5"/>
      <c r="CO63" s="5"/>
    </row>
    <row r="64" spans="2:93" x14ac:dyDescent="0.3">
      <c r="B64" t="s">
        <v>178</v>
      </c>
      <c r="C64" s="3" t="s">
        <v>210</v>
      </c>
      <c r="D64" s="132" t="str">
        <f>VLOOKUP(C64,Mapping!$AB$2:$AC$8,2,FALSE)</f>
        <v>Age 0 - 6</v>
      </c>
      <c r="E64" s="132" t="str">
        <f t="shared" si="4"/>
        <v>Moonee Valley (C)Age 0 - 6</v>
      </c>
      <c r="F64" s="132" t="str">
        <f>INDEX(Mapping!$Y:$Y,MATCH($B64,Mapping!$W:$W,0))</f>
        <v>Metro</v>
      </c>
      <c r="G64" s="45">
        <f t="shared" si="6"/>
        <v>8430</v>
      </c>
      <c r="H64" s="45">
        <f t="shared" si="6"/>
        <v>8221</v>
      </c>
      <c r="I64" s="45">
        <f t="shared" si="6"/>
        <v>7819</v>
      </c>
      <c r="J64" s="5"/>
      <c r="K64" s="5"/>
      <c r="L64" s="5"/>
      <c r="M64" s="5"/>
      <c r="P64" t="s">
        <v>56</v>
      </c>
      <c r="Q64" t="s">
        <v>178</v>
      </c>
      <c r="R64" s="18">
        <v>1114</v>
      </c>
      <c r="S64" s="18">
        <v>1026</v>
      </c>
      <c r="T64" s="18">
        <v>1044</v>
      </c>
      <c r="U64" s="5"/>
      <c r="V64" s="5"/>
      <c r="W64" s="5"/>
      <c r="X64" s="5"/>
      <c r="AA64" t="s">
        <v>56</v>
      </c>
      <c r="AB64" t="s">
        <v>178</v>
      </c>
      <c r="AC64" s="18">
        <v>8</v>
      </c>
      <c r="AD64" s="18">
        <v>1</v>
      </c>
      <c r="AE64" s="18">
        <v>12</v>
      </c>
      <c r="AF64" s="18">
        <v>1</v>
      </c>
      <c r="AG64" s="18">
        <v>1</v>
      </c>
      <c r="AH64" s="18">
        <v>6</v>
      </c>
      <c r="AI64" s="18">
        <v>1</v>
      </c>
      <c r="AJ64" s="18">
        <v>8</v>
      </c>
      <c r="AK64" s="18">
        <v>5</v>
      </c>
      <c r="AL64" s="18">
        <v>1</v>
      </c>
      <c r="AM64" s="18">
        <v>4</v>
      </c>
      <c r="AN64" s="18">
        <v>2</v>
      </c>
      <c r="AO64" s="18">
        <v>5</v>
      </c>
      <c r="AP64" s="18">
        <v>6</v>
      </c>
      <c r="AQ64" s="18">
        <v>2</v>
      </c>
      <c r="AR64" s="5"/>
      <c r="AS64" s="5"/>
      <c r="AT64" s="5"/>
      <c r="AU64" s="5"/>
      <c r="AV64" s="5"/>
      <c r="AW64" s="5"/>
      <c r="AX64" s="5"/>
      <c r="AY64" s="5"/>
      <c r="AZ64" s="5"/>
      <c r="BA64" s="5"/>
      <c r="BB64" s="5"/>
      <c r="BC64" s="5"/>
      <c r="BD64" s="5"/>
      <c r="BE64" s="5"/>
      <c r="BF64" s="5"/>
      <c r="BJ64" t="s">
        <v>3</v>
      </c>
      <c r="BK64" t="s">
        <v>120</v>
      </c>
      <c r="BL64" s="84">
        <v>4.34</v>
      </c>
      <c r="BM64" s="84">
        <v>4.5999999999999996</v>
      </c>
      <c r="BN64" s="84">
        <v>4.5999999999999996</v>
      </c>
      <c r="BO64" s="84">
        <v>0</v>
      </c>
      <c r="BP64" s="84">
        <v>1</v>
      </c>
      <c r="BQ64" s="84">
        <v>1</v>
      </c>
      <c r="BR64" s="84">
        <v>0</v>
      </c>
      <c r="BS64" s="84">
        <v>0</v>
      </c>
      <c r="BT64" s="84">
        <v>0</v>
      </c>
      <c r="BU64" s="84">
        <v>0.4</v>
      </c>
      <c r="BV64" s="84">
        <v>0.6</v>
      </c>
      <c r="BW64" s="84">
        <v>0.6</v>
      </c>
      <c r="BX64" s="84">
        <v>0.2</v>
      </c>
      <c r="BY64" s="84">
        <v>0.4</v>
      </c>
      <c r="BZ64" s="84">
        <v>0</v>
      </c>
      <c r="CA64" s="5"/>
      <c r="CB64" s="5"/>
      <c r="CC64" s="5"/>
      <c r="CD64" s="5"/>
      <c r="CE64" s="5"/>
      <c r="CF64" s="5"/>
      <c r="CG64" s="5"/>
      <c r="CH64" s="5"/>
      <c r="CI64" s="5"/>
      <c r="CJ64" s="5"/>
      <c r="CK64" s="5"/>
      <c r="CL64" s="5"/>
      <c r="CM64" s="5"/>
      <c r="CN64" s="5"/>
      <c r="CO64" s="5"/>
    </row>
    <row r="65" spans="2:93" x14ac:dyDescent="0.3">
      <c r="B65" t="s">
        <v>179</v>
      </c>
      <c r="C65" s="3" t="s">
        <v>210</v>
      </c>
      <c r="D65" s="132" t="str">
        <f>VLOOKUP(C65,Mapping!$AB$2:$AC$8,2,FALSE)</f>
        <v>Age 0 - 6</v>
      </c>
      <c r="E65" s="132" t="str">
        <f t="shared" si="4"/>
        <v>Moorabool (S)Age 0 - 6</v>
      </c>
      <c r="F65" s="132" t="str">
        <f>INDEX(Mapping!$Y:$Y,MATCH($B65,Mapping!$W:$W,0))</f>
        <v>Rural</v>
      </c>
      <c r="G65" s="45">
        <f t="shared" si="6"/>
        <v>2358</v>
      </c>
      <c r="H65" s="45">
        <f t="shared" si="6"/>
        <v>2308</v>
      </c>
      <c r="I65" s="45">
        <f t="shared" si="6"/>
        <v>2250</v>
      </c>
      <c r="J65" s="5"/>
      <c r="K65" s="5"/>
      <c r="L65" s="5"/>
      <c r="M65" s="5"/>
      <c r="P65" t="s">
        <v>56</v>
      </c>
      <c r="Q65" t="s">
        <v>179</v>
      </c>
      <c r="R65" s="18">
        <v>521</v>
      </c>
      <c r="S65" s="18">
        <v>494</v>
      </c>
      <c r="T65" s="18">
        <v>516</v>
      </c>
      <c r="U65" s="5"/>
      <c r="V65" s="5"/>
      <c r="W65" s="5"/>
      <c r="X65" s="5"/>
      <c r="AA65" t="s">
        <v>56</v>
      </c>
      <c r="AB65" t="s">
        <v>179</v>
      </c>
      <c r="AC65" s="18">
        <v>1</v>
      </c>
      <c r="AD65" s="18">
        <v>0</v>
      </c>
      <c r="AE65" s="18">
        <v>4</v>
      </c>
      <c r="AF65" s="18">
        <v>0</v>
      </c>
      <c r="AG65" s="18">
        <v>1</v>
      </c>
      <c r="AH65" s="18">
        <v>1</v>
      </c>
      <c r="AI65" s="18">
        <v>1</v>
      </c>
      <c r="AJ65" s="18">
        <v>4</v>
      </c>
      <c r="AK65" s="18">
        <v>0</v>
      </c>
      <c r="AL65" s="18">
        <v>1</v>
      </c>
      <c r="AM65" s="18">
        <v>0</v>
      </c>
      <c r="AN65" s="18">
        <v>2</v>
      </c>
      <c r="AO65" s="18">
        <v>3</v>
      </c>
      <c r="AP65" s="18">
        <v>2</v>
      </c>
      <c r="AQ65" s="18">
        <v>1</v>
      </c>
      <c r="AR65" s="5"/>
      <c r="AS65" s="5"/>
      <c r="AT65" s="5"/>
      <c r="AU65" s="5"/>
      <c r="AV65" s="5"/>
      <c r="AW65" s="5"/>
      <c r="AX65" s="5"/>
      <c r="AY65" s="5"/>
      <c r="AZ65" s="5"/>
      <c r="BA65" s="5"/>
      <c r="BB65" s="5"/>
      <c r="BC65" s="5"/>
      <c r="BD65" s="5"/>
      <c r="BE65" s="5"/>
      <c r="BF65" s="5"/>
      <c r="BJ65" t="s">
        <v>3</v>
      </c>
      <c r="BK65" t="s">
        <v>121</v>
      </c>
      <c r="BL65" s="84">
        <v>3.8</v>
      </c>
      <c r="BM65" s="84">
        <v>4.2</v>
      </c>
      <c r="BN65" s="84">
        <v>2.9</v>
      </c>
      <c r="BO65" s="84">
        <v>0.4</v>
      </c>
      <c r="BP65" s="84">
        <v>0.8</v>
      </c>
      <c r="BQ65" s="84">
        <v>0.4</v>
      </c>
      <c r="BR65" s="84">
        <v>0</v>
      </c>
      <c r="BS65" s="84">
        <v>0</v>
      </c>
      <c r="BT65" s="84">
        <v>0</v>
      </c>
      <c r="BU65" s="84">
        <v>0.6</v>
      </c>
      <c r="BV65" s="84">
        <v>0.6</v>
      </c>
      <c r="BW65" s="84">
        <v>0.8</v>
      </c>
      <c r="BX65" s="84">
        <v>0</v>
      </c>
      <c r="BY65" s="84">
        <v>0</v>
      </c>
      <c r="BZ65" s="84">
        <v>0</v>
      </c>
      <c r="CA65" s="5"/>
      <c r="CB65" s="5"/>
      <c r="CC65" s="5"/>
      <c r="CD65" s="5"/>
      <c r="CE65" s="5"/>
      <c r="CF65" s="5"/>
      <c r="CG65" s="5"/>
      <c r="CH65" s="5"/>
      <c r="CI65" s="5"/>
      <c r="CJ65" s="5"/>
      <c r="CK65" s="5"/>
      <c r="CL65" s="5"/>
      <c r="CM65" s="5"/>
      <c r="CN65" s="5"/>
      <c r="CO65" s="5"/>
    </row>
    <row r="66" spans="2:93" x14ac:dyDescent="0.3">
      <c r="B66" t="s">
        <v>141</v>
      </c>
      <c r="C66" s="3" t="s">
        <v>210</v>
      </c>
      <c r="D66" s="132" t="str">
        <f>VLOOKUP(C66,Mapping!$AB$2:$AC$8,2,FALSE)</f>
        <v>Age 0 - 6</v>
      </c>
      <c r="E66" s="132" t="str">
        <f t="shared" si="4"/>
        <v>Moreland (C)Age 0 - 6</v>
      </c>
      <c r="F66" s="132" t="str">
        <f>INDEX(Mapping!$Y:$Y,MATCH($B66,Mapping!$W:$W,0))</f>
        <v>Metro</v>
      </c>
      <c r="G66" s="45">
        <f t="shared" si="6"/>
        <v>14492</v>
      </c>
      <c r="H66" s="45">
        <f t="shared" si="6"/>
        <v>14460</v>
      </c>
      <c r="I66" s="45">
        <f t="shared" si="6"/>
        <v>14541</v>
      </c>
      <c r="J66" s="5"/>
      <c r="K66" s="5"/>
      <c r="L66" s="5"/>
      <c r="M66" s="5"/>
      <c r="P66" t="s">
        <v>23</v>
      </c>
      <c r="Q66" t="s">
        <v>141</v>
      </c>
      <c r="R66" s="18">
        <v>2278</v>
      </c>
      <c r="S66" s="18">
        <v>2038</v>
      </c>
      <c r="T66" s="18">
        <v>2251</v>
      </c>
      <c r="U66" s="5"/>
      <c r="V66" s="5"/>
      <c r="W66" s="5"/>
      <c r="X66" s="5"/>
      <c r="AA66" t="s">
        <v>23</v>
      </c>
      <c r="AB66" t="s">
        <v>141</v>
      </c>
      <c r="AC66" s="18">
        <v>5</v>
      </c>
      <c r="AD66" s="18">
        <v>3</v>
      </c>
      <c r="AE66" s="18">
        <v>4</v>
      </c>
      <c r="AF66" s="18">
        <v>13</v>
      </c>
      <c r="AG66" s="18">
        <v>4</v>
      </c>
      <c r="AH66" s="18">
        <v>9</v>
      </c>
      <c r="AI66" s="18">
        <v>2</v>
      </c>
      <c r="AJ66" s="18">
        <v>1</v>
      </c>
      <c r="AK66" s="18">
        <v>8</v>
      </c>
      <c r="AL66" s="18">
        <v>19</v>
      </c>
      <c r="AM66" s="18">
        <v>11</v>
      </c>
      <c r="AN66" s="18">
        <v>5</v>
      </c>
      <c r="AO66" s="18">
        <v>6</v>
      </c>
      <c r="AP66" s="18">
        <v>8</v>
      </c>
      <c r="AQ66" s="18">
        <v>19</v>
      </c>
      <c r="AR66" s="5"/>
      <c r="AS66" s="5"/>
      <c r="AT66" s="5"/>
      <c r="AU66" s="5"/>
      <c r="AV66" s="5"/>
      <c r="AW66" s="5"/>
      <c r="AX66" s="5"/>
      <c r="AY66" s="5"/>
      <c r="AZ66" s="5"/>
      <c r="BA66" s="5"/>
      <c r="BB66" s="5"/>
      <c r="BC66" s="5"/>
      <c r="BD66" s="5"/>
      <c r="BE66" s="5"/>
      <c r="BF66" s="5"/>
      <c r="BJ66" t="s">
        <v>3</v>
      </c>
      <c r="BK66" t="s">
        <v>122</v>
      </c>
      <c r="BL66" s="84">
        <v>15</v>
      </c>
      <c r="BM66" s="84">
        <v>14.1</v>
      </c>
      <c r="BN66" s="84">
        <v>15.1</v>
      </c>
      <c r="BO66" s="84">
        <v>1.2</v>
      </c>
      <c r="BP66" s="84">
        <v>0.6</v>
      </c>
      <c r="BQ66" s="84">
        <v>0.6</v>
      </c>
      <c r="BR66" s="84">
        <v>0</v>
      </c>
      <c r="BS66" s="84">
        <v>0</v>
      </c>
      <c r="BT66" s="84">
        <v>0</v>
      </c>
      <c r="BU66" s="84">
        <v>0.8</v>
      </c>
      <c r="BV66" s="84">
        <v>0.8</v>
      </c>
      <c r="BW66" s="84">
        <v>0.8</v>
      </c>
      <c r="BX66" s="84">
        <v>0.6</v>
      </c>
      <c r="BY66" s="84">
        <v>0.6</v>
      </c>
      <c r="BZ66" s="84">
        <v>0.6</v>
      </c>
      <c r="CA66" s="5"/>
      <c r="CB66" s="5"/>
      <c r="CC66" s="5"/>
      <c r="CD66" s="5"/>
      <c r="CE66" s="5"/>
      <c r="CF66" s="5"/>
      <c r="CG66" s="5"/>
      <c r="CH66" s="5"/>
      <c r="CI66" s="5"/>
      <c r="CJ66" s="5"/>
      <c r="CK66" s="5"/>
      <c r="CL66" s="5"/>
      <c r="CM66" s="5"/>
      <c r="CN66" s="5"/>
      <c r="CO66" s="5"/>
    </row>
    <row r="67" spans="2:93" x14ac:dyDescent="0.3">
      <c r="B67" t="s">
        <v>158</v>
      </c>
      <c r="C67" s="3" t="s">
        <v>210</v>
      </c>
      <c r="D67" s="132" t="str">
        <f>VLOOKUP(C67,Mapping!$AB$2:$AC$8,2,FALSE)</f>
        <v>Age 0 - 6</v>
      </c>
      <c r="E67" s="132" t="str">
        <f t="shared" si="4"/>
        <v>Mornington Peninsula (S)Age 0 - 6</v>
      </c>
      <c r="F67" s="132" t="str">
        <f>INDEX(Mapping!$Y:$Y,MATCH($B67,Mapping!$W:$W,0))</f>
        <v>Interface</v>
      </c>
      <c r="G67" s="45">
        <f t="shared" si="6"/>
        <v>11187</v>
      </c>
      <c r="H67" s="45">
        <f t="shared" si="6"/>
        <v>10273</v>
      </c>
      <c r="I67" s="45">
        <f t="shared" si="6"/>
        <v>10193</v>
      </c>
      <c r="J67" s="5"/>
      <c r="K67" s="5"/>
      <c r="L67" s="5"/>
      <c r="M67" s="5"/>
      <c r="P67" t="s">
        <v>41</v>
      </c>
      <c r="Q67" t="s">
        <v>158</v>
      </c>
      <c r="R67" s="18">
        <v>2238</v>
      </c>
      <c r="S67" s="18">
        <v>1988</v>
      </c>
      <c r="T67" s="18">
        <v>2019</v>
      </c>
      <c r="U67" s="5"/>
      <c r="V67" s="5"/>
      <c r="W67" s="5"/>
      <c r="X67" s="5"/>
      <c r="AA67" t="s">
        <v>41</v>
      </c>
      <c r="AB67" t="s">
        <v>158</v>
      </c>
      <c r="AC67" s="18">
        <v>4</v>
      </c>
      <c r="AD67" s="18">
        <v>5</v>
      </c>
      <c r="AE67" s="18">
        <v>4</v>
      </c>
      <c r="AF67" s="18">
        <v>7</v>
      </c>
      <c r="AG67" s="18">
        <v>3</v>
      </c>
      <c r="AH67" s="18">
        <v>3</v>
      </c>
      <c r="AI67" s="18">
        <v>6</v>
      </c>
      <c r="AJ67" s="18">
        <v>6</v>
      </c>
      <c r="AK67" s="18">
        <v>6</v>
      </c>
      <c r="AL67" s="18">
        <v>3</v>
      </c>
      <c r="AM67" s="18">
        <v>3</v>
      </c>
      <c r="AN67" s="18">
        <v>7</v>
      </c>
      <c r="AO67" s="18">
        <v>6</v>
      </c>
      <c r="AP67" s="18">
        <v>4</v>
      </c>
      <c r="AQ67" s="18">
        <v>4</v>
      </c>
      <c r="AR67" s="5"/>
      <c r="AS67" s="5"/>
      <c r="AT67" s="5"/>
      <c r="AU67" s="5"/>
      <c r="AV67" s="5"/>
      <c r="AW67" s="5"/>
      <c r="AX67" s="5"/>
      <c r="AY67" s="5"/>
      <c r="AZ67" s="5"/>
      <c r="BA67" s="5"/>
      <c r="BB67" s="5"/>
      <c r="BC67" s="5"/>
      <c r="BD67" s="5"/>
      <c r="BE67" s="5"/>
      <c r="BF67" s="5"/>
      <c r="BJ67" t="s">
        <v>56</v>
      </c>
      <c r="BK67" t="s">
        <v>178</v>
      </c>
      <c r="BL67" s="84">
        <v>10.68</v>
      </c>
      <c r="BM67" s="84">
        <v>10.68</v>
      </c>
      <c r="BN67" s="84">
        <v>11.53</v>
      </c>
      <c r="BO67" s="84">
        <v>2</v>
      </c>
      <c r="BP67" s="84">
        <v>2</v>
      </c>
      <c r="BQ67" s="84">
        <v>2</v>
      </c>
      <c r="BR67" s="84">
        <v>0</v>
      </c>
      <c r="BS67" s="84">
        <v>0</v>
      </c>
      <c r="BT67" s="84">
        <v>0</v>
      </c>
      <c r="BU67" s="84">
        <v>0.95</v>
      </c>
      <c r="BV67" s="84">
        <v>0.75</v>
      </c>
      <c r="BW67" s="84">
        <v>0.74</v>
      </c>
      <c r="BX67" s="84">
        <v>0.2</v>
      </c>
      <c r="BY67" s="84">
        <v>0.2</v>
      </c>
      <c r="BZ67" s="84">
        <v>0.2</v>
      </c>
      <c r="CA67" s="5"/>
      <c r="CB67" s="5"/>
      <c r="CC67" s="5"/>
      <c r="CD67" s="5"/>
      <c r="CE67" s="5"/>
      <c r="CF67" s="5"/>
      <c r="CG67" s="5"/>
      <c r="CH67" s="5"/>
      <c r="CI67" s="5"/>
      <c r="CJ67" s="5"/>
      <c r="CK67" s="5"/>
      <c r="CL67" s="5"/>
      <c r="CM67" s="5"/>
      <c r="CN67" s="5"/>
      <c r="CO67" s="5"/>
    </row>
    <row r="68" spans="2:93" x14ac:dyDescent="0.3">
      <c r="B68" t="s">
        <v>142</v>
      </c>
      <c r="C68" s="3" t="s">
        <v>210</v>
      </c>
      <c r="D68" s="132" t="str">
        <f>VLOOKUP(C68,Mapping!$AB$2:$AC$8,2,FALSE)</f>
        <v>Age 0 - 6</v>
      </c>
      <c r="E68" s="132" t="str">
        <f t="shared" si="4"/>
        <v>Mount Alexander (S)Age 0 - 6</v>
      </c>
      <c r="F68" s="132" t="str">
        <f>INDEX(Mapping!$Y:$Y,MATCH($B68,Mapping!$W:$W,0))</f>
        <v>Rural</v>
      </c>
      <c r="G68" s="45">
        <f t="shared" si="6"/>
        <v>1058</v>
      </c>
      <c r="H68" s="45">
        <f t="shared" si="6"/>
        <v>987</v>
      </c>
      <c r="I68" s="45">
        <f t="shared" si="6"/>
        <v>1000</v>
      </c>
      <c r="J68" s="5"/>
      <c r="K68" s="5"/>
      <c r="L68" s="5"/>
      <c r="M68" s="5"/>
      <c r="P68" t="s">
        <v>23</v>
      </c>
      <c r="Q68" t="s">
        <v>142</v>
      </c>
      <c r="R68" s="18">
        <v>287</v>
      </c>
      <c r="S68" s="18">
        <v>242</v>
      </c>
      <c r="T68" s="18">
        <v>249</v>
      </c>
      <c r="U68" s="5"/>
      <c r="V68" s="5"/>
      <c r="W68" s="5"/>
      <c r="X68" s="5"/>
      <c r="AA68" t="s">
        <v>23</v>
      </c>
      <c r="AB68" t="s">
        <v>142</v>
      </c>
      <c r="AC68" s="18">
        <v>0</v>
      </c>
      <c r="AD68" s="18">
        <v>0</v>
      </c>
      <c r="AE68" s="18">
        <v>0</v>
      </c>
      <c r="AF68" s="18">
        <v>2</v>
      </c>
      <c r="AG68" s="18">
        <v>0</v>
      </c>
      <c r="AH68" s="18">
        <v>0</v>
      </c>
      <c r="AI68" s="18">
        <v>0</v>
      </c>
      <c r="AJ68" s="18">
        <v>0</v>
      </c>
      <c r="AK68" s="18">
        <v>2</v>
      </c>
      <c r="AL68" s="18">
        <v>0</v>
      </c>
      <c r="AM68" s="18">
        <v>0</v>
      </c>
      <c r="AN68" s="18">
        <v>0</v>
      </c>
      <c r="AO68" s="18">
        <v>1</v>
      </c>
      <c r="AP68" s="18">
        <v>0</v>
      </c>
      <c r="AQ68" s="18">
        <v>1</v>
      </c>
      <c r="AR68" s="5"/>
      <c r="AS68" s="5"/>
      <c r="AT68" s="5"/>
      <c r="AU68" s="5"/>
      <c r="AV68" s="5"/>
      <c r="AW68" s="5"/>
      <c r="AX68" s="5"/>
      <c r="AY68" s="5"/>
      <c r="AZ68" s="5"/>
      <c r="BA68" s="5"/>
      <c r="BB68" s="5"/>
      <c r="BC68" s="5"/>
      <c r="BD68" s="5"/>
      <c r="BE68" s="5"/>
      <c r="BF68" s="5"/>
      <c r="BJ68" t="s">
        <v>56</v>
      </c>
      <c r="BK68" t="s">
        <v>179</v>
      </c>
      <c r="BL68" s="84">
        <v>3.23</v>
      </c>
      <c r="BM68" s="84">
        <v>4.7</v>
      </c>
      <c r="BN68" s="84">
        <v>4.9400000000000004</v>
      </c>
      <c r="BO68" s="84">
        <v>1</v>
      </c>
      <c r="BP68" s="84">
        <v>1</v>
      </c>
      <c r="BQ68" s="84">
        <v>0</v>
      </c>
      <c r="BR68" s="84">
        <v>0</v>
      </c>
      <c r="BS68" s="84">
        <v>0</v>
      </c>
      <c r="BT68" s="84">
        <v>0</v>
      </c>
      <c r="BU68" s="84">
        <v>0.42</v>
      </c>
      <c r="BV68" s="84">
        <v>0.42</v>
      </c>
      <c r="BW68" s="84">
        <v>0.42</v>
      </c>
      <c r="BX68" s="84">
        <v>0</v>
      </c>
      <c r="BY68" s="84">
        <v>0</v>
      </c>
      <c r="BZ68" s="84">
        <v>0.45</v>
      </c>
      <c r="CA68" s="5"/>
      <c r="CB68" s="5"/>
      <c r="CC68" s="5"/>
      <c r="CD68" s="5"/>
      <c r="CE68" s="5"/>
      <c r="CF68" s="5"/>
      <c r="CG68" s="5"/>
      <c r="CH68" s="5"/>
      <c r="CI68" s="5"/>
      <c r="CJ68" s="5"/>
      <c r="CK68" s="5"/>
      <c r="CL68" s="5"/>
      <c r="CM68" s="5"/>
      <c r="CN68" s="5"/>
      <c r="CO68" s="5"/>
    </row>
    <row r="69" spans="2:93" x14ac:dyDescent="0.3">
      <c r="B69" t="s">
        <v>180</v>
      </c>
      <c r="C69" s="3" t="s">
        <v>210</v>
      </c>
      <c r="D69" s="132" t="str">
        <f>VLOOKUP(C69,Mapping!$AB$2:$AC$8,2,FALSE)</f>
        <v>Age 0 - 6</v>
      </c>
      <c r="E69" s="132" t="str">
        <f t="shared" si="4"/>
        <v>Moyne (S)Age 0 - 6</v>
      </c>
      <c r="F69" s="132" t="str">
        <f>INDEX(Mapping!$Y:$Y,MATCH($B69,Mapping!$W:$W,0))</f>
        <v>Rural</v>
      </c>
      <c r="G69" s="45">
        <f t="shared" si="6"/>
        <v>1329</v>
      </c>
      <c r="H69" s="45">
        <f t="shared" si="6"/>
        <v>1049</v>
      </c>
      <c r="I69" s="45">
        <f t="shared" si="6"/>
        <v>1007</v>
      </c>
      <c r="J69" s="5"/>
      <c r="K69" s="5"/>
      <c r="L69" s="5"/>
      <c r="M69" s="5"/>
      <c r="P69" t="s">
        <v>56</v>
      </c>
      <c r="Q69" t="s">
        <v>180</v>
      </c>
      <c r="R69" s="18">
        <v>231</v>
      </c>
      <c r="S69" s="18">
        <v>208</v>
      </c>
      <c r="T69" s="18">
        <v>222</v>
      </c>
      <c r="U69" s="5"/>
      <c r="V69" s="5"/>
      <c r="W69" s="5"/>
      <c r="X69" s="5"/>
      <c r="AA69" t="s">
        <v>56</v>
      </c>
      <c r="AB69" t="s">
        <v>180</v>
      </c>
      <c r="AC69" s="18">
        <v>1</v>
      </c>
      <c r="AD69" s="18">
        <v>0</v>
      </c>
      <c r="AE69" s="18">
        <v>1</v>
      </c>
      <c r="AF69" s="18">
        <v>1</v>
      </c>
      <c r="AG69" s="18">
        <v>1</v>
      </c>
      <c r="AH69" s="18">
        <v>1</v>
      </c>
      <c r="AI69" s="18">
        <v>0</v>
      </c>
      <c r="AJ69" s="18">
        <v>1</v>
      </c>
      <c r="AK69" s="18">
        <v>1</v>
      </c>
      <c r="AL69" s="18">
        <v>2</v>
      </c>
      <c r="AM69" s="18">
        <v>1</v>
      </c>
      <c r="AN69" s="18">
        <v>0</v>
      </c>
      <c r="AO69" s="18">
        <v>0</v>
      </c>
      <c r="AP69" s="18">
        <v>1</v>
      </c>
      <c r="AQ69" s="18">
        <v>2</v>
      </c>
      <c r="AR69" s="5"/>
      <c r="AS69" s="5"/>
      <c r="AT69" s="5"/>
      <c r="AU69" s="5"/>
      <c r="AV69" s="5"/>
      <c r="AW69" s="5"/>
      <c r="AX69" s="5"/>
      <c r="AY69" s="5"/>
      <c r="AZ69" s="5"/>
      <c r="BA69" s="5"/>
      <c r="BB69" s="5"/>
      <c r="BC69" s="5"/>
      <c r="BD69" s="5"/>
      <c r="BE69" s="5"/>
      <c r="BF69" s="5"/>
      <c r="BJ69" t="s">
        <v>23</v>
      </c>
      <c r="BK69" t="s">
        <v>141</v>
      </c>
      <c r="BL69" s="84">
        <v>22.42</v>
      </c>
      <c r="BM69" s="84">
        <v>21</v>
      </c>
      <c r="BN69" s="84">
        <v>23.8</v>
      </c>
      <c r="BO69" s="84">
        <v>2</v>
      </c>
      <c r="BP69" s="84">
        <v>2.6</v>
      </c>
      <c r="BQ69" s="84">
        <v>1.6</v>
      </c>
      <c r="BR69" s="84">
        <v>0</v>
      </c>
      <c r="BS69" s="84">
        <v>0</v>
      </c>
      <c r="BT69" s="84">
        <v>0</v>
      </c>
      <c r="BU69" s="84">
        <v>1</v>
      </c>
      <c r="BV69" s="84">
        <v>1</v>
      </c>
      <c r="BW69" s="84">
        <v>1</v>
      </c>
      <c r="BX69" s="84">
        <v>0.75</v>
      </c>
      <c r="BY69" s="84">
        <v>0.75</v>
      </c>
      <c r="BZ69" s="84">
        <v>0.7</v>
      </c>
      <c r="CA69" s="5"/>
      <c r="CB69" s="5"/>
      <c r="CC69" s="5"/>
      <c r="CD69" s="5"/>
      <c r="CE69" s="5"/>
      <c r="CF69" s="5"/>
      <c r="CG69" s="5"/>
      <c r="CH69" s="5"/>
      <c r="CI69" s="5"/>
      <c r="CJ69" s="5"/>
      <c r="CK69" s="5"/>
      <c r="CL69" s="5"/>
      <c r="CM69" s="5"/>
      <c r="CN69" s="5"/>
      <c r="CO69" s="5"/>
    </row>
    <row r="70" spans="2:93" x14ac:dyDescent="0.3">
      <c r="B70" t="s">
        <v>123</v>
      </c>
      <c r="C70" s="3" t="s">
        <v>210</v>
      </c>
      <c r="D70" s="132" t="str">
        <f>VLOOKUP(C70,Mapping!$AB$2:$AC$8,2,FALSE)</f>
        <v>Age 0 - 6</v>
      </c>
      <c r="E70" s="132" t="str">
        <f t="shared" si="4"/>
        <v>Murrindindi (S)Age 0 - 6</v>
      </c>
      <c r="F70" s="132" t="str">
        <f>INDEX(Mapping!$Y:$Y,MATCH($B70,Mapping!$W:$W,0))</f>
        <v>Rural</v>
      </c>
      <c r="G70" s="45">
        <f t="shared" si="6"/>
        <v>843</v>
      </c>
      <c r="H70" s="45">
        <f t="shared" si="6"/>
        <v>774</v>
      </c>
      <c r="I70" s="45">
        <f t="shared" si="6"/>
        <v>726</v>
      </c>
      <c r="J70" s="5"/>
      <c r="K70" s="5"/>
      <c r="L70" s="5"/>
      <c r="M70" s="5"/>
      <c r="P70" t="s">
        <v>3</v>
      </c>
      <c r="Q70" t="s">
        <v>123</v>
      </c>
      <c r="R70" s="18">
        <v>195</v>
      </c>
      <c r="S70" s="18">
        <v>145</v>
      </c>
      <c r="T70" s="18">
        <v>153</v>
      </c>
      <c r="U70" s="5"/>
      <c r="V70" s="5"/>
      <c r="W70" s="5"/>
      <c r="X70" s="5"/>
      <c r="AA70" t="s">
        <v>3</v>
      </c>
      <c r="AB70" t="s">
        <v>123</v>
      </c>
      <c r="AC70" s="18">
        <v>0</v>
      </c>
      <c r="AD70" s="18">
        <v>0</v>
      </c>
      <c r="AE70" s="18">
        <v>1</v>
      </c>
      <c r="AF70" s="18">
        <v>2</v>
      </c>
      <c r="AG70" s="18">
        <v>1</v>
      </c>
      <c r="AH70" s="18">
        <v>0</v>
      </c>
      <c r="AI70" s="18">
        <v>0</v>
      </c>
      <c r="AJ70" s="18">
        <v>1</v>
      </c>
      <c r="AK70" s="18">
        <v>0</v>
      </c>
      <c r="AL70" s="18">
        <v>2</v>
      </c>
      <c r="AM70" s="18">
        <v>1</v>
      </c>
      <c r="AN70" s="18">
        <v>0</v>
      </c>
      <c r="AO70" s="18">
        <v>1</v>
      </c>
      <c r="AP70" s="18">
        <v>0</v>
      </c>
      <c r="AQ70" s="18">
        <v>1</v>
      </c>
      <c r="AR70" s="5"/>
      <c r="AS70" s="5"/>
      <c r="AT70" s="5"/>
      <c r="AU70" s="5"/>
      <c r="AV70" s="5"/>
      <c r="AW70" s="5"/>
      <c r="AX70" s="5"/>
      <c r="AY70" s="5"/>
      <c r="AZ70" s="5"/>
      <c r="BA70" s="5"/>
      <c r="BB70" s="5"/>
      <c r="BC70" s="5"/>
      <c r="BD70" s="5"/>
      <c r="BE70" s="5"/>
      <c r="BF70" s="5"/>
      <c r="BJ70" t="s">
        <v>41</v>
      </c>
      <c r="BK70" t="s">
        <v>158</v>
      </c>
      <c r="BL70" s="84">
        <v>11.3</v>
      </c>
      <c r="BM70" s="84">
        <v>11.24</v>
      </c>
      <c r="BN70" s="84">
        <v>11.71</v>
      </c>
      <c r="BO70" s="84">
        <v>2</v>
      </c>
      <c r="BP70" s="84">
        <v>2.6</v>
      </c>
      <c r="BQ70" s="84">
        <v>2.6</v>
      </c>
      <c r="BR70" s="84">
        <v>0.8</v>
      </c>
      <c r="BS70" s="84">
        <v>0.8</v>
      </c>
      <c r="BT70" s="84">
        <v>1</v>
      </c>
      <c r="BU70" s="84">
        <v>1.6</v>
      </c>
      <c r="BV70" s="84">
        <v>1.6</v>
      </c>
      <c r="BW70" s="84">
        <v>1.6</v>
      </c>
      <c r="BX70" s="84">
        <v>0.6</v>
      </c>
      <c r="BY70" s="84">
        <v>0.8</v>
      </c>
      <c r="BZ70" s="84">
        <v>1.2</v>
      </c>
      <c r="CA70" s="5"/>
      <c r="CB70" s="5"/>
      <c r="CC70" s="5"/>
      <c r="CD70" s="5"/>
      <c r="CE70" s="5"/>
      <c r="CF70" s="5"/>
      <c r="CG70" s="5"/>
      <c r="CH70" s="5"/>
      <c r="CI70" s="5"/>
      <c r="CJ70" s="5"/>
      <c r="CK70" s="5"/>
      <c r="CL70" s="5"/>
      <c r="CM70" s="5"/>
      <c r="CN70" s="5"/>
      <c r="CO70" s="5"/>
    </row>
    <row r="71" spans="2:93" x14ac:dyDescent="0.3">
      <c r="B71" t="s">
        <v>143</v>
      </c>
      <c r="C71" s="3" t="s">
        <v>210</v>
      </c>
      <c r="D71" s="132" t="str">
        <f>VLOOKUP(C71,Mapping!$AB$2:$AC$8,2,FALSE)</f>
        <v>Age 0 - 6</v>
      </c>
      <c r="E71" s="132" t="str">
        <f t="shared" si="4"/>
        <v>Nillumbik (S)Age 0 - 6</v>
      </c>
      <c r="F71" s="132" t="str">
        <f>INDEX(Mapping!$Y:$Y,MATCH($B71,Mapping!$W:$W,0))</f>
        <v>Interface</v>
      </c>
      <c r="G71" s="45">
        <f t="shared" si="6"/>
        <v>4374</v>
      </c>
      <c r="H71" s="45">
        <f t="shared" si="6"/>
        <v>4016</v>
      </c>
      <c r="I71" s="45">
        <f t="shared" si="6"/>
        <v>3941</v>
      </c>
      <c r="J71" s="5"/>
      <c r="K71" s="5"/>
      <c r="L71" s="5"/>
      <c r="M71" s="5"/>
      <c r="P71" t="s">
        <v>23</v>
      </c>
      <c r="Q71" t="s">
        <v>143</v>
      </c>
      <c r="R71" s="18">
        <v>402</v>
      </c>
      <c r="S71" s="18">
        <v>353</v>
      </c>
      <c r="T71" s="18">
        <v>380</v>
      </c>
      <c r="U71" s="5"/>
      <c r="V71" s="5"/>
      <c r="W71" s="5"/>
      <c r="X71" s="5"/>
      <c r="AA71" t="s">
        <v>23</v>
      </c>
      <c r="AB71" t="s">
        <v>143</v>
      </c>
      <c r="AC71" s="18">
        <v>1</v>
      </c>
      <c r="AD71" s="18">
        <v>1</v>
      </c>
      <c r="AE71" s="18">
        <v>0</v>
      </c>
      <c r="AF71" s="18">
        <v>1</v>
      </c>
      <c r="AG71" s="18">
        <v>6</v>
      </c>
      <c r="AH71" s="18">
        <v>0</v>
      </c>
      <c r="AI71" s="18">
        <v>2</v>
      </c>
      <c r="AJ71" s="18">
        <v>0</v>
      </c>
      <c r="AK71" s="18">
        <v>0</v>
      </c>
      <c r="AL71" s="18">
        <v>7</v>
      </c>
      <c r="AM71" s="18">
        <v>2</v>
      </c>
      <c r="AN71" s="18">
        <v>1</v>
      </c>
      <c r="AO71" s="18">
        <v>2</v>
      </c>
      <c r="AP71" s="18">
        <v>1</v>
      </c>
      <c r="AQ71" s="18">
        <v>5</v>
      </c>
      <c r="AR71" s="5"/>
      <c r="AS71" s="5"/>
      <c r="AT71" s="5"/>
      <c r="AU71" s="5"/>
      <c r="AV71" s="5"/>
      <c r="AW71" s="5"/>
      <c r="AX71" s="5"/>
      <c r="AY71" s="5"/>
      <c r="AZ71" s="5"/>
      <c r="BA71" s="5"/>
      <c r="BB71" s="5"/>
      <c r="BC71" s="5"/>
      <c r="BD71" s="5"/>
      <c r="BE71" s="5"/>
      <c r="BF71" s="5"/>
      <c r="BJ71" t="s">
        <v>23</v>
      </c>
      <c r="BK71" t="s">
        <v>142</v>
      </c>
      <c r="BL71" s="84">
        <v>1.4</v>
      </c>
      <c r="BM71" s="84">
        <v>1.4</v>
      </c>
      <c r="BN71" s="84">
        <v>1.4</v>
      </c>
      <c r="BO71" s="84">
        <v>0</v>
      </c>
      <c r="BP71" s="84">
        <v>0</v>
      </c>
      <c r="BQ71" s="84">
        <v>0</v>
      </c>
      <c r="BR71" s="84">
        <v>0</v>
      </c>
      <c r="BS71" s="84">
        <v>0</v>
      </c>
      <c r="BT71" s="84">
        <v>0</v>
      </c>
      <c r="BU71" s="84">
        <v>0.2</v>
      </c>
      <c r="BV71" s="84">
        <v>0.2</v>
      </c>
      <c r="BW71" s="84">
        <v>0.2</v>
      </c>
      <c r="BX71" s="84">
        <v>0</v>
      </c>
      <c r="BY71" s="84">
        <v>0</v>
      </c>
      <c r="BZ71" s="84">
        <v>0</v>
      </c>
      <c r="CA71" s="5"/>
      <c r="CB71" s="5"/>
      <c r="CC71" s="5"/>
      <c r="CD71" s="5"/>
      <c r="CE71" s="5"/>
      <c r="CF71" s="5"/>
      <c r="CG71" s="5"/>
      <c r="CH71" s="5"/>
      <c r="CI71" s="5"/>
      <c r="CJ71" s="5"/>
      <c r="CK71" s="5"/>
      <c r="CL71" s="5"/>
      <c r="CM71" s="5"/>
      <c r="CN71" s="5"/>
      <c r="CO71" s="5"/>
    </row>
    <row r="72" spans="2:93" x14ac:dyDescent="0.3">
      <c r="B72" t="s">
        <v>181</v>
      </c>
      <c r="C72" s="3" t="s">
        <v>210</v>
      </c>
      <c r="D72" s="132" t="str">
        <f>VLOOKUP(C72,Mapping!$AB$2:$AC$8,2,FALSE)</f>
        <v>Age 0 - 6</v>
      </c>
      <c r="E72" s="132" t="str">
        <f t="shared" si="4"/>
        <v>Northern Grampians (S)Age 0 - 6</v>
      </c>
      <c r="F72" s="132" t="str">
        <f>INDEX(Mapping!$Y:$Y,MATCH($B72,Mapping!$W:$W,0))</f>
        <v>Rural</v>
      </c>
      <c r="G72" s="45">
        <f t="shared" si="6"/>
        <v>672</v>
      </c>
      <c r="H72" s="45">
        <f t="shared" si="6"/>
        <v>613</v>
      </c>
      <c r="I72" s="45">
        <f t="shared" si="6"/>
        <v>609</v>
      </c>
      <c r="J72" s="5"/>
      <c r="K72" s="5"/>
      <c r="L72" s="5"/>
      <c r="M72" s="5"/>
      <c r="P72" t="s">
        <v>56</v>
      </c>
      <c r="Q72" t="s">
        <v>181</v>
      </c>
      <c r="R72" s="18">
        <v>217</v>
      </c>
      <c r="S72" s="18">
        <v>179</v>
      </c>
      <c r="T72" s="18">
        <v>198</v>
      </c>
      <c r="U72" s="5"/>
      <c r="V72" s="5"/>
      <c r="W72" s="5"/>
      <c r="X72" s="5"/>
      <c r="AA72" t="s">
        <v>56</v>
      </c>
      <c r="AB72" t="s">
        <v>181</v>
      </c>
      <c r="AC72" s="18">
        <v>1</v>
      </c>
      <c r="AD72" s="18">
        <v>1</v>
      </c>
      <c r="AE72" s="18">
        <v>0</v>
      </c>
      <c r="AF72" s="18">
        <v>1</v>
      </c>
      <c r="AG72" s="18">
        <v>1</v>
      </c>
      <c r="AH72" s="18">
        <v>1</v>
      </c>
      <c r="AI72" s="18">
        <v>1</v>
      </c>
      <c r="AJ72" s="18">
        <v>0</v>
      </c>
      <c r="AK72" s="18">
        <v>0</v>
      </c>
      <c r="AL72" s="18">
        <v>1</v>
      </c>
      <c r="AM72" s="18">
        <v>1</v>
      </c>
      <c r="AN72" s="18">
        <v>0</v>
      </c>
      <c r="AO72" s="18">
        <v>1</v>
      </c>
      <c r="AP72" s="18">
        <v>0</v>
      </c>
      <c r="AQ72" s="18">
        <v>2</v>
      </c>
      <c r="AR72" s="5"/>
      <c r="AS72" s="5"/>
      <c r="AT72" s="5"/>
      <c r="AU72" s="5"/>
      <c r="AV72" s="5"/>
      <c r="AW72" s="5"/>
      <c r="AX72" s="5"/>
      <c r="AY72" s="5"/>
      <c r="AZ72" s="5"/>
      <c r="BA72" s="5"/>
      <c r="BB72" s="5"/>
      <c r="BC72" s="5"/>
      <c r="BD72" s="5"/>
      <c r="BE72" s="5"/>
      <c r="BF72" s="5"/>
      <c r="BJ72" t="s">
        <v>56</v>
      </c>
      <c r="BK72" t="s">
        <v>180</v>
      </c>
      <c r="BL72" s="84">
        <v>1.8</v>
      </c>
      <c r="BM72" s="84">
        <v>1.8</v>
      </c>
      <c r="BN72" s="84">
        <v>1.4</v>
      </c>
      <c r="BO72" s="84">
        <v>0</v>
      </c>
      <c r="BP72" s="84">
        <v>0</v>
      </c>
      <c r="BQ72" s="84">
        <v>0</v>
      </c>
      <c r="BR72" s="84">
        <v>0</v>
      </c>
      <c r="BS72" s="84">
        <v>0</v>
      </c>
      <c r="BT72" s="84">
        <v>0.1</v>
      </c>
      <c r="BU72" s="84">
        <v>0.2</v>
      </c>
      <c r="BV72" s="84">
        <v>0.2</v>
      </c>
      <c r="BW72" s="84">
        <v>0.4</v>
      </c>
      <c r="BX72" s="84">
        <v>0</v>
      </c>
      <c r="BY72" s="84">
        <v>0</v>
      </c>
      <c r="BZ72" s="84">
        <v>0</v>
      </c>
      <c r="CA72" s="5"/>
      <c r="CB72" s="5"/>
      <c r="CC72" s="5"/>
      <c r="CD72" s="5"/>
      <c r="CE72" s="5"/>
      <c r="CF72" s="5"/>
      <c r="CG72" s="5"/>
      <c r="CH72" s="5"/>
      <c r="CI72" s="5"/>
      <c r="CJ72" s="5"/>
      <c r="CK72" s="5"/>
      <c r="CL72" s="5"/>
      <c r="CM72" s="5"/>
      <c r="CN72" s="5"/>
      <c r="CO72" s="5"/>
    </row>
    <row r="73" spans="2:93" x14ac:dyDescent="0.3">
      <c r="B73" t="s">
        <v>159</v>
      </c>
      <c r="C73" s="3" t="s">
        <v>210</v>
      </c>
      <c r="D73" s="132" t="str">
        <f>VLOOKUP(C73,Mapping!$AB$2:$AC$8,2,FALSE)</f>
        <v>Age 0 - 6</v>
      </c>
      <c r="E73" s="132" t="str">
        <f t="shared" si="4"/>
        <v>Port Phillip (C)Age 0 - 6</v>
      </c>
      <c r="F73" s="132" t="str">
        <f>INDEX(Mapping!$Y:$Y,MATCH($B73,Mapping!$W:$W,0))</f>
        <v>Metro</v>
      </c>
      <c r="G73" s="45">
        <f t="shared" si="6"/>
        <v>7649</v>
      </c>
      <c r="H73" s="45">
        <f t="shared" si="6"/>
        <v>7805</v>
      </c>
      <c r="I73" s="45">
        <f t="shared" si="6"/>
        <v>7081</v>
      </c>
      <c r="J73" s="5"/>
      <c r="K73" s="5"/>
      <c r="L73" s="5"/>
      <c r="M73" s="5"/>
      <c r="P73" t="s">
        <v>41</v>
      </c>
      <c r="Q73" t="s">
        <v>159</v>
      </c>
      <c r="R73" s="18">
        <v>651</v>
      </c>
      <c r="S73" s="18">
        <v>636</v>
      </c>
      <c r="T73" s="18">
        <v>684</v>
      </c>
      <c r="U73" s="5"/>
      <c r="V73" s="5"/>
      <c r="W73" s="5"/>
      <c r="X73" s="5"/>
      <c r="AA73" t="s">
        <v>41</v>
      </c>
      <c r="AB73" t="s">
        <v>159</v>
      </c>
      <c r="AC73" s="18">
        <v>3</v>
      </c>
      <c r="AD73" s="18">
        <v>1</v>
      </c>
      <c r="AE73" s="18">
        <v>3</v>
      </c>
      <c r="AF73" s="18">
        <v>6</v>
      </c>
      <c r="AG73" s="18">
        <v>8</v>
      </c>
      <c r="AH73" s="18">
        <v>3</v>
      </c>
      <c r="AI73" s="18">
        <v>2</v>
      </c>
      <c r="AJ73" s="18">
        <v>3</v>
      </c>
      <c r="AK73" s="18">
        <v>5</v>
      </c>
      <c r="AL73" s="18">
        <v>7</v>
      </c>
      <c r="AM73" s="18">
        <v>4</v>
      </c>
      <c r="AN73" s="18">
        <v>2</v>
      </c>
      <c r="AO73" s="18">
        <v>4</v>
      </c>
      <c r="AP73" s="18">
        <v>5</v>
      </c>
      <c r="AQ73" s="18">
        <v>6</v>
      </c>
      <c r="AR73" s="5"/>
      <c r="AS73" s="5"/>
      <c r="AT73" s="5"/>
      <c r="AU73" s="5"/>
      <c r="AV73" s="5"/>
      <c r="AW73" s="5"/>
      <c r="AX73" s="5"/>
      <c r="AY73" s="5"/>
      <c r="AZ73" s="5"/>
      <c r="BA73" s="5"/>
      <c r="BB73" s="5"/>
      <c r="BC73" s="5"/>
      <c r="BD73" s="5"/>
      <c r="BE73" s="5"/>
      <c r="BF73" s="5"/>
      <c r="BJ73" t="s">
        <v>3</v>
      </c>
      <c r="BK73" t="s">
        <v>123</v>
      </c>
      <c r="BL73" s="84">
        <v>1.6</v>
      </c>
      <c r="BM73" s="84">
        <v>1.6</v>
      </c>
      <c r="BN73" s="84">
        <v>1.2</v>
      </c>
      <c r="BO73" s="84">
        <v>0.2</v>
      </c>
      <c r="BP73" s="84">
        <v>0.2</v>
      </c>
      <c r="BQ73" s="84">
        <v>0.2</v>
      </c>
      <c r="BR73" s="84">
        <v>0</v>
      </c>
      <c r="BS73" s="84">
        <v>0</v>
      </c>
      <c r="BT73" s="84">
        <v>0</v>
      </c>
      <c r="BU73" s="84">
        <v>0</v>
      </c>
      <c r="BV73" s="84">
        <v>0</v>
      </c>
      <c r="BW73" s="84">
        <v>0</v>
      </c>
      <c r="BX73" s="84">
        <v>0</v>
      </c>
      <c r="BY73" s="84">
        <v>0</v>
      </c>
      <c r="BZ73" s="84">
        <v>0</v>
      </c>
      <c r="CA73" s="5"/>
      <c r="CB73" s="5"/>
      <c r="CC73" s="5"/>
      <c r="CD73" s="5"/>
      <c r="CE73" s="5"/>
      <c r="CF73" s="5"/>
      <c r="CG73" s="5"/>
      <c r="CH73" s="5"/>
      <c r="CI73" s="5"/>
      <c r="CJ73" s="5"/>
      <c r="CK73" s="5"/>
      <c r="CL73" s="5"/>
      <c r="CM73" s="5"/>
      <c r="CN73" s="5"/>
      <c r="CO73" s="5"/>
    </row>
    <row r="74" spans="2:93" x14ac:dyDescent="0.3">
      <c r="B74" t="s">
        <v>182</v>
      </c>
      <c r="C74" s="3" t="s">
        <v>210</v>
      </c>
      <c r="D74" s="132" t="str">
        <f>VLOOKUP(C74,Mapping!$AB$2:$AC$8,2,FALSE)</f>
        <v>Age 0 - 6</v>
      </c>
      <c r="E74" s="132" t="str">
        <f t="shared" si="4"/>
        <v>Pyrenees (S)Age 0 - 6</v>
      </c>
      <c r="F74" s="132" t="str">
        <f>INDEX(Mapping!$Y:$Y,MATCH($B74,Mapping!$W:$W,0))</f>
        <v>Rural</v>
      </c>
      <c r="G74" s="45">
        <f t="shared" si="6"/>
        <v>385</v>
      </c>
      <c r="H74" s="45">
        <f t="shared" si="6"/>
        <v>362</v>
      </c>
      <c r="I74" s="45">
        <f t="shared" si="6"/>
        <v>348</v>
      </c>
      <c r="J74" s="5"/>
      <c r="K74" s="5"/>
      <c r="L74" s="5"/>
      <c r="M74" s="5"/>
      <c r="P74" t="s">
        <v>56</v>
      </c>
      <c r="Q74" t="s">
        <v>182</v>
      </c>
      <c r="R74" s="18">
        <v>147</v>
      </c>
      <c r="S74" s="18">
        <v>121</v>
      </c>
      <c r="T74" s="18">
        <v>122</v>
      </c>
      <c r="U74" s="5"/>
      <c r="V74" s="5"/>
      <c r="W74" s="5"/>
      <c r="X74" s="5"/>
      <c r="AA74" t="s">
        <v>56</v>
      </c>
      <c r="AB74" t="s">
        <v>182</v>
      </c>
      <c r="AC74" s="18">
        <v>0</v>
      </c>
      <c r="AD74" s="18">
        <v>0</v>
      </c>
      <c r="AE74" s="18">
        <v>1</v>
      </c>
      <c r="AF74" s="18">
        <v>0</v>
      </c>
      <c r="AG74" s="18">
        <v>0</v>
      </c>
      <c r="AH74" s="18">
        <v>0</v>
      </c>
      <c r="AI74" s="18">
        <v>0</v>
      </c>
      <c r="AJ74" s="18">
        <v>1</v>
      </c>
      <c r="AK74" s="18">
        <v>0</v>
      </c>
      <c r="AL74" s="18">
        <v>0</v>
      </c>
      <c r="AM74" s="18">
        <v>1</v>
      </c>
      <c r="AN74" s="18">
        <v>0</v>
      </c>
      <c r="AO74" s="18">
        <v>0</v>
      </c>
      <c r="AP74" s="18">
        <v>1</v>
      </c>
      <c r="AQ74" s="18">
        <v>0</v>
      </c>
      <c r="AR74" s="5"/>
      <c r="AS74" s="5"/>
      <c r="AT74" s="5"/>
      <c r="AU74" s="5"/>
      <c r="AV74" s="5"/>
      <c r="AW74" s="5"/>
      <c r="AX74" s="5"/>
      <c r="AY74" s="5"/>
      <c r="AZ74" s="5"/>
      <c r="BA74" s="5"/>
      <c r="BB74" s="5"/>
      <c r="BC74" s="5"/>
      <c r="BD74" s="5"/>
      <c r="BE74" s="5"/>
      <c r="BF74" s="5"/>
      <c r="BJ74" t="s">
        <v>23</v>
      </c>
      <c r="BK74" t="s">
        <v>143</v>
      </c>
      <c r="BL74" s="84">
        <v>5.3</v>
      </c>
      <c r="BM74" s="84">
        <v>5.3</v>
      </c>
      <c r="BN74" s="84">
        <v>6</v>
      </c>
      <c r="BO74" s="84">
        <v>0.8</v>
      </c>
      <c r="BP74" s="84">
        <v>0.8</v>
      </c>
      <c r="BQ74" s="84">
        <v>0.8</v>
      </c>
      <c r="BR74" s="84">
        <v>0</v>
      </c>
      <c r="BS74" s="84">
        <v>0</v>
      </c>
      <c r="BT74" s="84">
        <v>0</v>
      </c>
      <c r="BU74" s="84">
        <v>0.3</v>
      </c>
      <c r="BV74" s="84">
        <v>0.3</v>
      </c>
      <c r="BW74" s="84">
        <v>0.4</v>
      </c>
      <c r="BX74" s="84">
        <v>0.8</v>
      </c>
      <c r="BY74" s="84">
        <v>0.6</v>
      </c>
      <c r="BZ74" s="84">
        <v>0</v>
      </c>
      <c r="CA74" s="5"/>
      <c r="CB74" s="5"/>
      <c r="CC74" s="5"/>
      <c r="CD74" s="5"/>
      <c r="CE74" s="5"/>
      <c r="CF74" s="5"/>
      <c r="CG74" s="5"/>
      <c r="CH74" s="5"/>
      <c r="CI74" s="5"/>
      <c r="CJ74" s="5"/>
      <c r="CK74" s="5"/>
      <c r="CL74" s="5"/>
      <c r="CM74" s="5"/>
      <c r="CN74" s="5"/>
      <c r="CO74" s="5"/>
    </row>
    <row r="75" spans="2:93" x14ac:dyDescent="0.3">
      <c r="B75" t="s">
        <v>183</v>
      </c>
      <c r="C75" s="3" t="s">
        <v>210</v>
      </c>
      <c r="D75" s="132" t="str">
        <f>VLOOKUP(C75,Mapping!$AB$2:$AC$8,2,FALSE)</f>
        <v>Age 0 - 6</v>
      </c>
      <c r="E75" s="132" t="str">
        <f t="shared" si="4"/>
        <v>Queenscliffe (B)Age 0 - 6</v>
      </c>
      <c r="F75" s="132" t="str">
        <f>INDEX(Mapping!$Y:$Y,MATCH($B75,Mapping!$W:$W,0))</f>
        <v>Rural</v>
      </c>
      <c r="G75" s="45">
        <f t="shared" si="6"/>
        <v>147</v>
      </c>
      <c r="H75" s="45">
        <f t="shared" si="6"/>
        <v>132</v>
      </c>
      <c r="I75" s="45">
        <f t="shared" si="6"/>
        <v>124</v>
      </c>
      <c r="J75" s="5"/>
      <c r="K75" s="5"/>
      <c r="L75" s="5"/>
      <c r="M75" s="5"/>
      <c r="P75" t="s">
        <v>56</v>
      </c>
      <c r="Q75" t="s">
        <v>183</v>
      </c>
      <c r="R75" s="18">
        <v>21</v>
      </c>
      <c r="S75" s="18">
        <v>17</v>
      </c>
      <c r="T75" s="18">
        <v>17</v>
      </c>
      <c r="U75" s="5"/>
      <c r="V75" s="5"/>
      <c r="W75" s="5"/>
      <c r="X75" s="5"/>
      <c r="AA75" t="s">
        <v>56</v>
      </c>
      <c r="AB75" t="s">
        <v>183</v>
      </c>
      <c r="AC75" s="18">
        <v>0</v>
      </c>
      <c r="AD75" s="18">
        <v>0</v>
      </c>
      <c r="AE75" s="18">
        <v>0</v>
      </c>
      <c r="AF75" s="18">
        <v>1</v>
      </c>
      <c r="AG75" s="18">
        <v>0</v>
      </c>
      <c r="AH75" s="18">
        <v>0</v>
      </c>
      <c r="AI75" s="18">
        <v>0</v>
      </c>
      <c r="AJ75" s="18">
        <v>0</v>
      </c>
      <c r="AK75" s="18">
        <v>1</v>
      </c>
      <c r="AL75" s="18">
        <v>0</v>
      </c>
      <c r="AM75" s="18">
        <v>0</v>
      </c>
      <c r="AN75" s="18">
        <v>0</v>
      </c>
      <c r="AO75" s="18">
        <v>0</v>
      </c>
      <c r="AP75" s="18">
        <v>2</v>
      </c>
      <c r="AQ75" s="18">
        <v>0</v>
      </c>
      <c r="AR75" s="5"/>
      <c r="AS75" s="5"/>
      <c r="AT75" s="5"/>
      <c r="AU75" s="5"/>
      <c r="AV75" s="5"/>
      <c r="AW75" s="5"/>
      <c r="AX75" s="5"/>
      <c r="AY75" s="5"/>
      <c r="AZ75" s="5"/>
      <c r="BA75" s="5"/>
      <c r="BB75" s="5"/>
      <c r="BC75" s="5"/>
      <c r="BD75" s="5"/>
      <c r="BE75" s="5"/>
      <c r="BF75" s="5"/>
      <c r="BJ75" t="s">
        <v>56</v>
      </c>
      <c r="BK75" t="s">
        <v>181</v>
      </c>
      <c r="BL75" s="84">
        <v>1.7</v>
      </c>
      <c r="BM75" s="84">
        <v>1.2</v>
      </c>
      <c r="BN75" s="84">
        <v>1.2</v>
      </c>
      <c r="BO75" s="84">
        <v>0</v>
      </c>
      <c r="BP75" s="84">
        <v>0</v>
      </c>
      <c r="BQ75" s="84">
        <v>0</v>
      </c>
      <c r="BR75" s="84">
        <v>0</v>
      </c>
      <c r="BS75" s="84">
        <v>0</v>
      </c>
      <c r="BT75" s="84">
        <v>0</v>
      </c>
      <c r="BU75" s="84">
        <v>0.3</v>
      </c>
      <c r="BV75" s="84">
        <v>0.4</v>
      </c>
      <c r="BW75" s="84">
        <v>0.3</v>
      </c>
      <c r="BX75" s="84">
        <v>0</v>
      </c>
      <c r="BY75" s="84">
        <v>0</v>
      </c>
      <c r="BZ75" s="84">
        <v>0</v>
      </c>
      <c r="CA75" s="5"/>
      <c r="CB75" s="5"/>
      <c r="CC75" s="5"/>
      <c r="CD75" s="5"/>
      <c r="CE75" s="5"/>
      <c r="CF75" s="5"/>
      <c r="CG75" s="5"/>
      <c r="CH75" s="5"/>
      <c r="CI75" s="5"/>
      <c r="CJ75" s="5"/>
      <c r="CK75" s="5"/>
      <c r="CL75" s="5"/>
      <c r="CM75" s="5"/>
      <c r="CN75" s="5"/>
      <c r="CO75" s="5"/>
    </row>
    <row r="76" spans="2:93" x14ac:dyDescent="0.3">
      <c r="B76" t="s">
        <v>160</v>
      </c>
      <c r="C76" s="3" t="s">
        <v>210</v>
      </c>
      <c r="D76" s="132" t="str">
        <f>VLOOKUP(C76,Mapping!$AB$2:$AC$8,2,FALSE)</f>
        <v>Age 0 - 6</v>
      </c>
      <c r="E76" s="132" t="str">
        <f t="shared" si="4"/>
        <v>South Gippsland (S)Age 0 - 6</v>
      </c>
      <c r="F76" s="132" t="str">
        <f>INDEX(Mapping!$Y:$Y,MATCH($B76,Mapping!$W:$W,0))</f>
        <v>Rural</v>
      </c>
      <c r="G76" s="45">
        <f t="shared" si="6"/>
        <v>2001</v>
      </c>
      <c r="H76" s="45">
        <f t="shared" si="6"/>
        <v>1402</v>
      </c>
      <c r="I76" s="45">
        <f t="shared" si="6"/>
        <v>1938</v>
      </c>
      <c r="J76" s="5"/>
      <c r="K76" s="5"/>
      <c r="L76" s="5"/>
      <c r="M76" s="5"/>
      <c r="P76" t="s">
        <v>41</v>
      </c>
      <c r="Q76" t="s">
        <v>160</v>
      </c>
      <c r="R76" s="18">
        <v>508</v>
      </c>
      <c r="S76" s="18">
        <v>412</v>
      </c>
      <c r="T76" s="18">
        <v>446</v>
      </c>
      <c r="U76" s="5"/>
      <c r="V76" s="5"/>
      <c r="W76" s="5"/>
      <c r="X76" s="5"/>
      <c r="AA76" t="s">
        <v>41</v>
      </c>
      <c r="AB76" t="s">
        <v>160</v>
      </c>
      <c r="AC76" s="18">
        <v>0</v>
      </c>
      <c r="AD76" s="18">
        <v>0</v>
      </c>
      <c r="AE76" s="18">
        <v>4</v>
      </c>
      <c r="AF76" s="18">
        <v>0</v>
      </c>
      <c r="AG76" s="18">
        <v>1</v>
      </c>
      <c r="AH76" s="18">
        <v>0</v>
      </c>
      <c r="AI76" s="18">
        <v>0</v>
      </c>
      <c r="AJ76" s="18">
        <v>0</v>
      </c>
      <c r="AK76" s="18">
        <v>4</v>
      </c>
      <c r="AL76" s="18">
        <v>1</v>
      </c>
      <c r="AM76" s="18">
        <v>1</v>
      </c>
      <c r="AN76" s="18">
        <v>0</v>
      </c>
      <c r="AO76" s="18">
        <v>0</v>
      </c>
      <c r="AP76" s="18">
        <v>4</v>
      </c>
      <c r="AQ76" s="18">
        <v>1</v>
      </c>
      <c r="AR76" s="5"/>
      <c r="AS76" s="5"/>
      <c r="AT76" s="5"/>
      <c r="AU76" s="5"/>
      <c r="AV76" s="5"/>
      <c r="AW76" s="5"/>
      <c r="AX76" s="5"/>
      <c r="AY76" s="5"/>
      <c r="AZ76" s="5"/>
      <c r="BA76" s="5"/>
      <c r="BB76" s="5"/>
      <c r="BC76" s="5"/>
      <c r="BD76" s="5"/>
      <c r="BE76" s="5"/>
      <c r="BF76" s="5"/>
      <c r="BJ76" t="s">
        <v>41</v>
      </c>
      <c r="BK76" t="s">
        <v>159</v>
      </c>
      <c r="BL76" s="84">
        <v>11.9</v>
      </c>
      <c r="BM76" s="84">
        <v>12.4</v>
      </c>
      <c r="BN76" s="84">
        <v>10.5</v>
      </c>
      <c r="BO76" s="84">
        <v>1</v>
      </c>
      <c r="BP76" s="84">
        <v>1</v>
      </c>
      <c r="BQ76" s="84">
        <v>1</v>
      </c>
      <c r="BR76" s="84">
        <v>0</v>
      </c>
      <c r="BS76" s="84">
        <v>0</v>
      </c>
      <c r="BT76" s="84">
        <v>0</v>
      </c>
      <c r="BU76" s="84">
        <v>1.2</v>
      </c>
      <c r="BV76" s="84">
        <v>0.8</v>
      </c>
      <c r="BW76" s="84">
        <v>0.8</v>
      </c>
      <c r="BX76" s="84">
        <v>0</v>
      </c>
      <c r="BY76" s="84">
        <v>0</v>
      </c>
      <c r="BZ76" s="84">
        <v>0</v>
      </c>
      <c r="CA76" s="5"/>
      <c r="CB76" s="5"/>
      <c r="CC76" s="5"/>
      <c r="CD76" s="5"/>
      <c r="CE76" s="5"/>
      <c r="CF76" s="5"/>
      <c r="CG76" s="5"/>
      <c r="CH76" s="5"/>
      <c r="CI76" s="5"/>
      <c r="CJ76" s="5"/>
      <c r="CK76" s="5"/>
      <c r="CL76" s="5"/>
      <c r="CM76" s="5"/>
      <c r="CN76" s="5"/>
      <c r="CO76" s="5"/>
    </row>
    <row r="77" spans="2:93" x14ac:dyDescent="0.3">
      <c r="B77" t="s">
        <v>184</v>
      </c>
      <c r="C77" s="3" t="s">
        <v>210</v>
      </c>
      <c r="D77" s="132" t="str">
        <f>VLOOKUP(C77,Mapping!$AB$2:$AC$8,2,FALSE)</f>
        <v>Age 0 - 6</v>
      </c>
      <c r="E77" s="132" t="str">
        <f t="shared" si="4"/>
        <v>Southern Grampians (S)Age 0 - 6</v>
      </c>
      <c r="F77" s="132" t="str">
        <f>INDEX(Mapping!$Y:$Y,MATCH($B77,Mapping!$W:$W,0))</f>
        <v>Rural</v>
      </c>
      <c r="G77" s="45">
        <f t="shared" si="6"/>
        <v>1177</v>
      </c>
      <c r="H77" s="45">
        <f t="shared" si="6"/>
        <v>1132</v>
      </c>
      <c r="I77" s="45">
        <f t="shared" si="6"/>
        <v>1130</v>
      </c>
      <c r="J77" s="5"/>
      <c r="K77" s="5"/>
      <c r="L77" s="5"/>
      <c r="M77" s="5"/>
      <c r="P77" t="s">
        <v>56</v>
      </c>
      <c r="Q77" t="s">
        <v>184</v>
      </c>
      <c r="R77" s="18">
        <v>244</v>
      </c>
      <c r="S77" s="18">
        <v>237</v>
      </c>
      <c r="T77" s="18">
        <v>248</v>
      </c>
      <c r="U77" s="5"/>
      <c r="V77" s="5"/>
      <c r="W77" s="5"/>
      <c r="X77" s="5"/>
      <c r="AA77" t="s">
        <v>56</v>
      </c>
      <c r="AB77" t="s">
        <v>184</v>
      </c>
      <c r="AC77" s="18">
        <v>1</v>
      </c>
      <c r="AD77" s="18">
        <v>0</v>
      </c>
      <c r="AE77" s="18">
        <v>0</v>
      </c>
      <c r="AF77" s="18">
        <v>1</v>
      </c>
      <c r="AG77" s="18">
        <v>2</v>
      </c>
      <c r="AH77" s="18">
        <v>2</v>
      </c>
      <c r="AI77" s="18">
        <v>0</v>
      </c>
      <c r="AJ77" s="18">
        <v>0</v>
      </c>
      <c r="AK77" s="18">
        <v>0</v>
      </c>
      <c r="AL77" s="18">
        <v>1</v>
      </c>
      <c r="AM77" s="18">
        <v>1</v>
      </c>
      <c r="AN77" s="18">
        <v>1</v>
      </c>
      <c r="AO77" s="18">
        <v>0</v>
      </c>
      <c r="AP77" s="18">
        <v>1</v>
      </c>
      <c r="AQ77" s="18">
        <v>0</v>
      </c>
      <c r="AR77" s="5"/>
      <c r="AS77" s="5"/>
      <c r="AT77" s="5"/>
      <c r="AU77" s="5"/>
      <c r="AV77" s="5"/>
      <c r="AW77" s="5"/>
      <c r="AX77" s="5"/>
      <c r="AY77" s="5"/>
      <c r="AZ77" s="5"/>
      <c r="BA77" s="5"/>
      <c r="BB77" s="5"/>
      <c r="BC77" s="5"/>
      <c r="BD77" s="5"/>
      <c r="BE77" s="5"/>
      <c r="BF77" s="5"/>
      <c r="BJ77" t="s">
        <v>56</v>
      </c>
      <c r="BK77" t="s">
        <v>182</v>
      </c>
      <c r="BL77" s="84">
        <v>0.6</v>
      </c>
      <c r="BM77" s="84">
        <v>0.6</v>
      </c>
      <c r="BN77" s="84">
        <v>0.8</v>
      </c>
      <c r="BO77" s="84">
        <v>0</v>
      </c>
      <c r="BP77" s="84">
        <v>0</v>
      </c>
      <c r="BQ77" s="84">
        <v>0</v>
      </c>
      <c r="BR77" s="84">
        <v>0.1</v>
      </c>
      <c r="BS77" s="84">
        <v>0.1</v>
      </c>
      <c r="BT77" s="84">
        <v>0.1</v>
      </c>
      <c r="BU77" s="84">
        <v>0.2</v>
      </c>
      <c r="BV77" s="84">
        <v>0.2</v>
      </c>
      <c r="BW77" s="84">
        <v>0.2</v>
      </c>
      <c r="BX77" s="84">
        <v>0</v>
      </c>
      <c r="BY77" s="84">
        <v>0</v>
      </c>
      <c r="BZ77" s="84">
        <v>0</v>
      </c>
      <c r="CA77" s="5"/>
      <c r="CB77" s="5"/>
      <c r="CC77" s="5"/>
      <c r="CD77" s="5"/>
      <c r="CE77" s="5"/>
      <c r="CF77" s="5"/>
      <c r="CG77" s="5"/>
      <c r="CH77" s="5"/>
      <c r="CI77" s="5"/>
      <c r="CJ77" s="5"/>
      <c r="CK77" s="5"/>
      <c r="CL77" s="5"/>
      <c r="CM77" s="5"/>
      <c r="CN77" s="5"/>
      <c r="CO77" s="5"/>
    </row>
    <row r="78" spans="2:93" x14ac:dyDescent="0.3">
      <c r="B78" t="s">
        <v>161</v>
      </c>
      <c r="C78" s="3" t="s">
        <v>210</v>
      </c>
      <c r="D78" s="132" t="str">
        <f>VLOOKUP(C78,Mapping!$AB$2:$AC$8,2,FALSE)</f>
        <v>Age 0 - 6</v>
      </c>
      <c r="E78" s="132" t="str">
        <f t="shared" si="4"/>
        <v>Stonnington (C)Age 0 - 6</v>
      </c>
      <c r="F78" s="132" t="str">
        <f>INDEX(Mapping!$Y:$Y,MATCH($B78,Mapping!$W:$W,0))</f>
        <v>Metro</v>
      </c>
      <c r="G78" s="45">
        <f t="shared" si="6"/>
        <v>7485</v>
      </c>
      <c r="H78" s="45">
        <f t="shared" si="6"/>
        <v>6233</v>
      </c>
      <c r="I78" s="45">
        <f t="shared" si="6"/>
        <v>5999</v>
      </c>
      <c r="J78" s="5"/>
      <c r="K78" s="5"/>
      <c r="L78" s="5"/>
      <c r="M78" s="5"/>
      <c r="P78" t="s">
        <v>41</v>
      </c>
      <c r="Q78" t="s">
        <v>161</v>
      </c>
      <c r="R78" s="18">
        <v>459</v>
      </c>
      <c r="S78" s="18">
        <v>412</v>
      </c>
      <c r="T78" s="18">
        <v>416</v>
      </c>
      <c r="U78" s="5"/>
      <c r="V78" s="5"/>
      <c r="W78" s="5"/>
      <c r="X78" s="5"/>
      <c r="AA78" t="s">
        <v>41</v>
      </c>
      <c r="AB78" t="s">
        <v>161</v>
      </c>
      <c r="AC78" s="18">
        <v>0</v>
      </c>
      <c r="AD78" s="18">
        <v>1</v>
      </c>
      <c r="AE78" s="18">
        <v>7</v>
      </c>
      <c r="AF78" s="18">
        <v>4</v>
      </c>
      <c r="AG78" s="18">
        <v>4</v>
      </c>
      <c r="AH78" s="18">
        <v>5</v>
      </c>
      <c r="AI78" s="18">
        <v>4</v>
      </c>
      <c r="AJ78" s="18">
        <v>2</v>
      </c>
      <c r="AK78" s="18">
        <v>4</v>
      </c>
      <c r="AL78" s="18">
        <v>9</v>
      </c>
      <c r="AM78" s="18">
        <v>2</v>
      </c>
      <c r="AN78" s="18">
        <v>1</v>
      </c>
      <c r="AO78" s="18">
        <v>2</v>
      </c>
      <c r="AP78" s="18">
        <v>9</v>
      </c>
      <c r="AQ78" s="18">
        <v>3</v>
      </c>
      <c r="AR78" s="5"/>
      <c r="AS78" s="5"/>
      <c r="AT78" s="5"/>
      <c r="AU78" s="5"/>
      <c r="AV78" s="5"/>
      <c r="AW78" s="5"/>
      <c r="AX78" s="5"/>
      <c r="AY78" s="5"/>
      <c r="AZ78" s="5"/>
      <c r="BA78" s="5"/>
      <c r="BB78" s="5"/>
      <c r="BC78" s="5"/>
      <c r="BD78" s="5"/>
      <c r="BE78" s="5"/>
      <c r="BF78" s="5"/>
      <c r="BJ78" t="s">
        <v>56</v>
      </c>
      <c r="BK78" t="s">
        <v>183</v>
      </c>
      <c r="BL78" s="84">
        <v>0.2</v>
      </c>
      <c r="BM78" s="84">
        <v>0.2</v>
      </c>
      <c r="BN78" s="84">
        <v>0.2</v>
      </c>
      <c r="BO78" s="84">
        <v>0</v>
      </c>
      <c r="BP78" s="84">
        <v>0</v>
      </c>
      <c r="BQ78" s="84">
        <v>0.02</v>
      </c>
      <c r="BR78" s="84">
        <v>0</v>
      </c>
      <c r="BS78" s="84">
        <v>0</v>
      </c>
      <c r="BT78" s="84">
        <v>0</v>
      </c>
      <c r="BU78" s="84">
        <v>0</v>
      </c>
      <c r="BV78" s="84">
        <v>0</v>
      </c>
      <c r="BW78" s="84">
        <v>0</v>
      </c>
      <c r="BX78" s="84">
        <v>0</v>
      </c>
      <c r="BY78" s="84">
        <v>0</v>
      </c>
      <c r="BZ78" s="84">
        <v>0</v>
      </c>
      <c r="CA78" s="5"/>
      <c r="CB78" s="5"/>
      <c r="CC78" s="5"/>
      <c r="CD78" s="5"/>
      <c r="CE78" s="5"/>
      <c r="CF78" s="5"/>
      <c r="CG78" s="5"/>
      <c r="CH78" s="5"/>
      <c r="CI78" s="5"/>
      <c r="CJ78" s="5"/>
      <c r="CK78" s="5"/>
      <c r="CL78" s="5"/>
      <c r="CM78" s="5"/>
      <c r="CN78" s="5"/>
      <c r="CO78" s="5"/>
    </row>
    <row r="79" spans="2:93" x14ac:dyDescent="0.3">
      <c r="B79" t="s">
        <v>124</v>
      </c>
      <c r="C79" s="3" t="s">
        <v>210</v>
      </c>
      <c r="D79" s="132" t="str">
        <f>VLOOKUP(C79,Mapping!$AB$2:$AC$8,2,FALSE)</f>
        <v>Age 0 - 6</v>
      </c>
      <c r="E79" s="132" t="str">
        <f t="shared" si="4"/>
        <v>Strathbogie (S)Age 0 - 6</v>
      </c>
      <c r="F79" s="132" t="str">
        <f>INDEX(Mapping!$Y:$Y,MATCH($B79,Mapping!$W:$W,0))</f>
        <v>Rural</v>
      </c>
      <c r="G79" s="45">
        <f t="shared" si="6"/>
        <v>529</v>
      </c>
      <c r="H79" s="45">
        <f t="shared" si="6"/>
        <v>540</v>
      </c>
      <c r="I79" s="45">
        <f t="shared" si="6"/>
        <v>553</v>
      </c>
      <c r="J79" s="5"/>
      <c r="K79" s="5"/>
      <c r="L79" s="5"/>
      <c r="M79" s="5"/>
      <c r="P79" t="s">
        <v>3</v>
      </c>
      <c r="Q79" t="s">
        <v>124</v>
      </c>
      <c r="R79" s="18">
        <v>156</v>
      </c>
      <c r="S79" s="18">
        <v>152</v>
      </c>
      <c r="T79" s="18">
        <v>159</v>
      </c>
      <c r="U79" s="5"/>
      <c r="V79" s="5"/>
      <c r="W79" s="5"/>
      <c r="X79" s="5"/>
      <c r="AA79" t="s">
        <v>3</v>
      </c>
      <c r="AB79" t="s">
        <v>124</v>
      </c>
      <c r="AC79" s="18">
        <v>0</v>
      </c>
      <c r="AD79" s="18">
        <v>1</v>
      </c>
      <c r="AE79" s="18">
        <v>1</v>
      </c>
      <c r="AF79" s="18">
        <v>0</v>
      </c>
      <c r="AG79" s="18">
        <v>1</v>
      </c>
      <c r="AH79" s="18">
        <v>0</v>
      </c>
      <c r="AI79" s="18">
        <v>1</v>
      </c>
      <c r="AJ79" s="18">
        <v>1</v>
      </c>
      <c r="AK79" s="18">
        <v>0</v>
      </c>
      <c r="AL79" s="18">
        <v>1</v>
      </c>
      <c r="AM79" s="18">
        <v>0</v>
      </c>
      <c r="AN79" s="18">
        <v>0</v>
      </c>
      <c r="AO79" s="18">
        <v>0</v>
      </c>
      <c r="AP79" s="18">
        <v>1</v>
      </c>
      <c r="AQ79" s="18">
        <v>1</v>
      </c>
      <c r="AR79" s="5"/>
      <c r="AS79" s="5"/>
      <c r="AT79" s="5"/>
      <c r="AU79" s="5"/>
      <c r="AV79" s="5"/>
      <c r="AW79" s="5"/>
      <c r="AX79" s="5"/>
      <c r="AY79" s="5"/>
      <c r="AZ79" s="5"/>
      <c r="BA79" s="5"/>
      <c r="BB79" s="5"/>
      <c r="BC79" s="5"/>
      <c r="BD79" s="5"/>
      <c r="BE79" s="5"/>
      <c r="BF79" s="5"/>
      <c r="BJ79" t="s">
        <v>41</v>
      </c>
      <c r="BK79" t="s">
        <v>160</v>
      </c>
      <c r="BL79" s="84">
        <v>1.6</v>
      </c>
      <c r="BM79" s="84">
        <v>2</v>
      </c>
      <c r="BN79" s="84">
        <v>2</v>
      </c>
      <c r="BO79" s="84">
        <v>1</v>
      </c>
      <c r="BP79" s="84">
        <v>0.6</v>
      </c>
      <c r="BQ79" s="84">
        <v>0.6</v>
      </c>
      <c r="BR79" s="84">
        <v>0</v>
      </c>
      <c r="BS79" s="84">
        <v>0</v>
      </c>
      <c r="BT79" s="84">
        <v>0</v>
      </c>
      <c r="BU79" s="84">
        <v>0.8</v>
      </c>
      <c r="BV79" s="84">
        <v>0.8</v>
      </c>
      <c r="BW79" s="84">
        <v>0.8</v>
      </c>
      <c r="BX79" s="84">
        <v>0</v>
      </c>
      <c r="BY79" s="84">
        <v>0</v>
      </c>
      <c r="BZ79" s="84">
        <v>0</v>
      </c>
      <c r="CA79" s="5"/>
      <c r="CB79" s="5"/>
      <c r="CC79" s="5"/>
      <c r="CD79" s="5"/>
      <c r="CE79" s="5"/>
      <c r="CF79" s="5"/>
      <c r="CG79" s="5"/>
      <c r="CH79" s="5"/>
      <c r="CI79" s="5"/>
      <c r="CJ79" s="5"/>
      <c r="CK79" s="5"/>
      <c r="CL79" s="5"/>
      <c r="CM79" s="5"/>
      <c r="CN79" s="5"/>
      <c r="CO79" s="5"/>
    </row>
    <row r="80" spans="2:93" x14ac:dyDescent="0.3">
      <c r="B80" t="s">
        <v>185</v>
      </c>
      <c r="C80" s="3" t="s">
        <v>210</v>
      </c>
      <c r="D80" s="132" t="str">
        <f>VLOOKUP(C80,Mapping!$AB$2:$AC$8,2,FALSE)</f>
        <v>Age 0 - 6</v>
      </c>
      <c r="E80" s="132" t="str">
        <f t="shared" ref="E80:E143" si="7">B80&amp;D80</f>
        <v>Surf Coast (S)Age 0 - 6</v>
      </c>
      <c r="F80" s="132" t="str">
        <f>INDEX(Mapping!$Y:$Y,MATCH($B80,Mapping!$W:$W,0))</f>
        <v>Rural</v>
      </c>
      <c r="G80" s="45">
        <f t="shared" si="6"/>
        <v>2202</v>
      </c>
      <c r="H80" s="45">
        <f t="shared" si="6"/>
        <v>2084</v>
      </c>
      <c r="I80" s="45">
        <f t="shared" si="6"/>
        <v>2150</v>
      </c>
      <c r="J80" s="5"/>
      <c r="K80" s="5"/>
      <c r="L80" s="5"/>
      <c r="M80" s="5"/>
      <c r="P80" t="s">
        <v>56</v>
      </c>
      <c r="Q80" t="s">
        <v>185</v>
      </c>
      <c r="R80" s="18">
        <v>287</v>
      </c>
      <c r="S80" s="18">
        <v>231</v>
      </c>
      <c r="T80" s="18">
        <v>234</v>
      </c>
      <c r="U80" s="5"/>
      <c r="V80" s="5"/>
      <c r="W80" s="5"/>
      <c r="X80" s="5"/>
      <c r="AA80" t="s">
        <v>56</v>
      </c>
      <c r="AB80" t="s">
        <v>185</v>
      </c>
      <c r="AC80" s="18">
        <v>3</v>
      </c>
      <c r="AD80" s="18">
        <v>0</v>
      </c>
      <c r="AE80" s="18">
        <v>1</v>
      </c>
      <c r="AF80" s="18">
        <v>1</v>
      </c>
      <c r="AG80" s="18">
        <v>3</v>
      </c>
      <c r="AH80" s="18">
        <v>3</v>
      </c>
      <c r="AI80" s="18">
        <v>1</v>
      </c>
      <c r="AJ80" s="18">
        <v>0</v>
      </c>
      <c r="AK80" s="18">
        <v>2</v>
      </c>
      <c r="AL80" s="18">
        <v>1</v>
      </c>
      <c r="AM80" s="18">
        <v>3</v>
      </c>
      <c r="AN80" s="18">
        <v>0</v>
      </c>
      <c r="AO80" s="18">
        <v>0</v>
      </c>
      <c r="AP80" s="18">
        <v>1</v>
      </c>
      <c r="AQ80" s="18">
        <v>1</v>
      </c>
      <c r="AR80" s="5"/>
      <c r="AS80" s="5"/>
      <c r="AT80" s="5"/>
      <c r="AU80" s="5"/>
      <c r="AV80" s="5"/>
      <c r="AW80" s="5"/>
      <c r="AX80" s="5"/>
      <c r="AY80" s="5"/>
      <c r="AZ80" s="5"/>
      <c r="BA80" s="5"/>
      <c r="BB80" s="5"/>
      <c r="BC80" s="5"/>
      <c r="BD80" s="5"/>
      <c r="BE80" s="5"/>
      <c r="BF80" s="5"/>
      <c r="BJ80" t="s">
        <v>56</v>
      </c>
      <c r="BK80" t="s">
        <v>184</v>
      </c>
      <c r="BL80" s="84">
        <v>1.1200000000000001</v>
      </c>
      <c r="BM80" s="84">
        <v>1.59</v>
      </c>
      <c r="BN80" s="84">
        <v>1.2</v>
      </c>
      <c r="BO80" s="84">
        <v>0.4</v>
      </c>
      <c r="BP80" s="84">
        <v>0.42</v>
      </c>
      <c r="BQ80" s="84">
        <v>0.41</v>
      </c>
      <c r="BR80" s="84">
        <v>0</v>
      </c>
      <c r="BS80" s="84">
        <v>0</v>
      </c>
      <c r="BT80" s="84">
        <v>0</v>
      </c>
      <c r="BU80" s="84">
        <v>0</v>
      </c>
      <c r="BV80" s="84">
        <v>0</v>
      </c>
      <c r="BW80" s="84">
        <v>0</v>
      </c>
      <c r="BX80" s="84">
        <v>0</v>
      </c>
      <c r="BY80" s="84">
        <v>0</v>
      </c>
      <c r="BZ80" s="84">
        <v>0</v>
      </c>
      <c r="CA80" s="5"/>
      <c r="CB80" s="5"/>
      <c r="CC80" s="5"/>
      <c r="CD80" s="5"/>
      <c r="CE80" s="5"/>
      <c r="CF80" s="5"/>
      <c r="CG80" s="5"/>
      <c r="CH80" s="5"/>
      <c r="CI80" s="5"/>
      <c r="CJ80" s="5"/>
      <c r="CK80" s="5"/>
      <c r="CL80" s="5"/>
      <c r="CM80" s="5"/>
      <c r="CN80" s="5"/>
      <c r="CO80" s="5"/>
    </row>
    <row r="81" spans="2:93" x14ac:dyDescent="0.3">
      <c r="B81" t="s">
        <v>144</v>
      </c>
      <c r="C81" s="3" t="s">
        <v>210</v>
      </c>
      <c r="D81" s="132" t="str">
        <f>VLOOKUP(C81,Mapping!$AB$2:$AC$8,2,FALSE)</f>
        <v>Age 0 - 6</v>
      </c>
      <c r="E81" s="132" t="str">
        <f t="shared" si="7"/>
        <v>Swan Hill (RC)Age 0 - 6</v>
      </c>
      <c r="F81" s="132" t="str">
        <f>INDEX(Mapping!$Y:$Y,MATCH($B81,Mapping!$W:$W,0))</f>
        <v>Rural</v>
      </c>
      <c r="G81" s="45">
        <f t="shared" si="6"/>
        <v>2041</v>
      </c>
      <c r="H81" s="45">
        <f t="shared" si="6"/>
        <v>1958</v>
      </c>
      <c r="I81" s="45">
        <f t="shared" si="6"/>
        <v>1913</v>
      </c>
      <c r="J81" s="5"/>
      <c r="K81" s="5"/>
      <c r="L81" s="5"/>
      <c r="M81" s="5"/>
      <c r="P81" t="s">
        <v>23</v>
      </c>
      <c r="Q81" t="s">
        <v>144</v>
      </c>
      <c r="R81" s="18">
        <v>525</v>
      </c>
      <c r="S81" s="18">
        <v>449</v>
      </c>
      <c r="T81" s="18">
        <v>499</v>
      </c>
      <c r="U81" s="5"/>
      <c r="V81" s="5"/>
      <c r="W81" s="5"/>
      <c r="X81" s="5"/>
      <c r="AA81" t="s">
        <v>23</v>
      </c>
      <c r="AB81" t="s">
        <v>144</v>
      </c>
      <c r="AC81" s="18">
        <v>2</v>
      </c>
      <c r="AD81" s="18">
        <v>0</v>
      </c>
      <c r="AE81" s="18">
        <v>2</v>
      </c>
      <c r="AF81" s="18">
        <v>1</v>
      </c>
      <c r="AG81" s="18">
        <v>0</v>
      </c>
      <c r="AH81" s="18">
        <v>1</v>
      </c>
      <c r="AI81" s="18">
        <v>0</v>
      </c>
      <c r="AJ81" s="18">
        <v>1</v>
      </c>
      <c r="AK81" s="18">
        <v>4</v>
      </c>
      <c r="AL81" s="18">
        <v>0</v>
      </c>
      <c r="AM81" s="18">
        <v>1</v>
      </c>
      <c r="AN81" s="18">
        <v>1</v>
      </c>
      <c r="AO81" s="18">
        <v>2</v>
      </c>
      <c r="AP81" s="18">
        <v>1</v>
      </c>
      <c r="AQ81" s="18">
        <v>0</v>
      </c>
      <c r="AR81" s="5"/>
      <c r="AS81" s="5"/>
      <c r="AT81" s="5"/>
      <c r="AU81" s="5"/>
      <c r="AV81" s="5"/>
      <c r="AW81" s="5"/>
      <c r="AX81" s="5"/>
      <c r="AY81" s="5"/>
      <c r="AZ81" s="5"/>
      <c r="BA81" s="5"/>
      <c r="BB81" s="5"/>
      <c r="BC81" s="5"/>
      <c r="BD81" s="5"/>
      <c r="BE81" s="5"/>
      <c r="BF81" s="5"/>
      <c r="BJ81" t="s">
        <v>41</v>
      </c>
      <c r="BK81" t="s">
        <v>161</v>
      </c>
      <c r="BL81" s="84">
        <v>7.2</v>
      </c>
      <c r="BM81" s="84">
        <v>8.6</v>
      </c>
      <c r="BN81" s="84">
        <v>7.9</v>
      </c>
      <c r="BO81" s="84">
        <v>1</v>
      </c>
      <c r="BP81" s="84">
        <v>1.4</v>
      </c>
      <c r="BQ81" s="84">
        <v>1.4</v>
      </c>
      <c r="BR81" s="84">
        <v>0</v>
      </c>
      <c r="BS81" s="84">
        <v>0</v>
      </c>
      <c r="BT81" s="84">
        <v>0</v>
      </c>
      <c r="BU81" s="84">
        <v>0.8</v>
      </c>
      <c r="BV81" s="84">
        <v>1.6</v>
      </c>
      <c r="BW81" s="84">
        <v>1.2</v>
      </c>
      <c r="BX81" s="84">
        <v>0</v>
      </c>
      <c r="BY81" s="84">
        <v>0</v>
      </c>
      <c r="BZ81" s="84">
        <v>0</v>
      </c>
      <c r="CA81" s="5"/>
      <c r="CB81" s="5"/>
      <c r="CC81" s="5"/>
      <c r="CD81" s="5"/>
      <c r="CE81" s="5"/>
      <c r="CF81" s="5"/>
      <c r="CG81" s="5"/>
      <c r="CH81" s="5"/>
      <c r="CI81" s="5"/>
      <c r="CJ81" s="5"/>
      <c r="CK81" s="5"/>
      <c r="CL81" s="5"/>
      <c r="CM81" s="5"/>
      <c r="CN81" s="5"/>
      <c r="CO81" s="5"/>
    </row>
    <row r="82" spans="2:93" x14ac:dyDescent="0.3">
      <c r="B82" t="s">
        <v>125</v>
      </c>
      <c r="C82" s="3" t="s">
        <v>210</v>
      </c>
      <c r="D82" s="132" t="str">
        <f>VLOOKUP(C82,Mapping!$AB$2:$AC$8,2,FALSE)</f>
        <v>Age 0 - 6</v>
      </c>
      <c r="E82" s="132" t="str">
        <f t="shared" si="7"/>
        <v>Towong (S)Age 0 - 6</v>
      </c>
      <c r="F82" s="132" t="str">
        <f>INDEX(Mapping!$Y:$Y,MATCH($B82,Mapping!$W:$W,0))</f>
        <v>Rural</v>
      </c>
      <c r="G82" s="45">
        <f t="shared" si="6"/>
        <v>369</v>
      </c>
      <c r="H82" s="45">
        <f t="shared" si="6"/>
        <v>378</v>
      </c>
      <c r="I82" s="45">
        <f t="shared" si="6"/>
        <v>359</v>
      </c>
      <c r="J82" s="5"/>
      <c r="K82" s="5"/>
      <c r="L82" s="5"/>
      <c r="M82" s="5"/>
      <c r="P82" t="s">
        <v>3</v>
      </c>
      <c r="Q82" t="s">
        <v>125</v>
      </c>
      <c r="R82" s="18">
        <v>82</v>
      </c>
      <c r="S82" s="18">
        <v>64</v>
      </c>
      <c r="T82" s="18">
        <v>60</v>
      </c>
      <c r="U82" s="5"/>
      <c r="V82" s="5"/>
      <c r="W82" s="5"/>
      <c r="X82" s="5"/>
      <c r="AA82" t="s">
        <v>3</v>
      </c>
      <c r="AB82" t="s">
        <v>125</v>
      </c>
      <c r="AC82" s="18">
        <v>0</v>
      </c>
      <c r="AD82" s="18">
        <v>0</v>
      </c>
      <c r="AE82" s="18">
        <v>0</v>
      </c>
      <c r="AF82" s="18">
        <v>1</v>
      </c>
      <c r="AG82" s="18">
        <v>1</v>
      </c>
      <c r="AH82" s="18">
        <v>1</v>
      </c>
      <c r="AI82" s="18">
        <v>0</v>
      </c>
      <c r="AJ82" s="18">
        <v>0</v>
      </c>
      <c r="AK82" s="18">
        <v>1</v>
      </c>
      <c r="AL82" s="18">
        <v>0</v>
      </c>
      <c r="AM82" s="18">
        <v>0</v>
      </c>
      <c r="AN82" s="18">
        <v>1</v>
      </c>
      <c r="AO82" s="18">
        <v>0</v>
      </c>
      <c r="AP82" s="18">
        <v>1</v>
      </c>
      <c r="AQ82" s="18">
        <v>0</v>
      </c>
      <c r="AR82" s="5"/>
      <c r="AS82" s="5"/>
      <c r="AT82" s="5"/>
      <c r="AU82" s="5"/>
      <c r="AV82" s="5"/>
      <c r="AW82" s="5"/>
      <c r="AX82" s="5"/>
      <c r="AY82" s="5"/>
      <c r="AZ82" s="5"/>
      <c r="BA82" s="5"/>
      <c r="BB82" s="5"/>
      <c r="BC82" s="5"/>
      <c r="BD82" s="5"/>
      <c r="BE82" s="5"/>
      <c r="BF82" s="5"/>
      <c r="BJ82" t="s">
        <v>3</v>
      </c>
      <c r="BK82" t="s">
        <v>124</v>
      </c>
      <c r="BL82" s="84">
        <v>0.84</v>
      </c>
      <c r="BM82" s="84">
        <v>0.4</v>
      </c>
      <c r="BN82" s="84">
        <v>0.4</v>
      </c>
      <c r="BO82" s="84">
        <v>0.22</v>
      </c>
      <c r="BP82" s="84">
        <v>0.6</v>
      </c>
      <c r="BQ82" s="84">
        <v>0.2</v>
      </c>
      <c r="BR82" s="84">
        <v>0</v>
      </c>
      <c r="BS82" s="84">
        <v>0</v>
      </c>
      <c r="BT82" s="84">
        <v>0</v>
      </c>
      <c r="BU82" s="84">
        <v>0.1</v>
      </c>
      <c r="BV82" s="84">
        <v>0</v>
      </c>
      <c r="BW82" s="84">
        <v>0.6</v>
      </c>
      <c r="BX82" s="84">
        <v>0</v>
      </c>
      <c r="BY82" s="84">
        <v>0</v>
      </c>
      <c r="BZ82" s="84">
        <v>0</v>
      </c>
      <c r="CA82" s="5"/>
      <c r="CB82" s="5"/>
      <c r="CC82" s="5"/>
      <c r="CD82" s="5"/>
      <c r="CE82" s="5"/>
      <c r="CF82" s="5"/>
      <c r="CG82" s="5"/>
      <c r="CH82" s="5"/>
      <c r="CI82" s="5"/>
      <c r="CJ82" s="5"/>
      <c r="CK82" s="5"/>
      <c r="CL82" s="5"/>
      <c r="CM82" s="5"/>
      <c r="CN82" s="5"/>
      <c r="CO82" s="5"/>
    </row>
    <row r="83" spans="2:93" x14ac:dyDescent="0.3">
      <c r="B83" t="s">
        <v>126</v>
      </c>
      <c r="C83" s="3" t="s">
        <v>210</v>
      </c>
      <c r="D83" s="132" t="str">
        <f>VLOOKUP(C83,Mapping!$AB$2:$AC$8,2,FALSE)</f>
        <v>Age 0 - 6</v>
      </c>
      <c r="E83" s="132" t="str">
        <f t="shared" si="7"/>
        <v>Wangaratta (RC)Age 0 - 6</v>
      </c>
      <c r="F83" s="132" t="str">
        <f>INDEX(Mapping!$Y:$Y,MATCH($B83,Mapping!$W:$W,0))</f>
        <v>Rural</v>
      </c>
      <c r="G83" s="45">
        <f t="shared" si="6"/>
        <v>1906</v>
      </c>
      <c r="H83" s="45">
        <f t="shared" si="6"/>
        <v>1906</v>
      </c>
      <c r="I83" s="45">
        <f t="shared" si="6"/>
        <v>1879</v>
      </c>
      <c r="J83" s="5"/>
      <c r="K83" s="5"/>
      <c r="L83" s="5"/>
      <c r="M83" s="5"/>
      <c r="P83" t="s">
        <v>3</v>
      </c>
      <c r="Q83" t="s">
        <v>126</v>
      </c>
      <c r="R83" s="18">
        <v>525</v>
      </c>
      <c r="S83" s="18">
        <v>454</v>
      </c>
      <c r="T83" s="18">
        <v>492</v>
      </c>
      <c r="U83" s="5"/>
      <c r="V83" s="5"/>
      <c r="W83" s="5"/>
      <c r="X83" s="5"/>
      <c r="AA83" t="s">
        <v>3</v>
      </c>
      <c r="AB83" t="s">
        <v>126</v>
      </c>
      <c r="AC83" s="18">
        <v>0</v>
      </c>
      <c r="AD83" s="18">
        <v>2</v>
      </c>
      <c r="AE83" s="18">
        <v>1</v>
      </c>
      <c r="AF83" s="18">
        <v>0</v>
      </c>
      <c r="AG83" s="18">
        <v>1</v>
      </c>
      <c r="AH83" s="18">
        <v>1</v>
      </c>
      <c r="AI83" s="18">
        <v>2</v>
      </c>
      <c r="AJ83" s="18">
        <v>3</v>
      </c>
      <c r="AK83" s="18">
        <v>1</v>
      </c>
      <c r="AL83" s="18">
        <v>1</v>
      </c>
      <c r="AM83" s="18">
        <v>1</v>
      </c>
      <c r="AN83" s="18">
        <v>1</v>
      </c>
      <c r="AO83" s="18">
        <v>2</v>
      </c>
      <c r="AP83" s="18">
        <v>0</v>
      </c>
      <c r="AQ83" s="18">
        <v>0</v>
      </c>
      <c r="AR83" s="5"/>
      <c r="AS83" s="5"/>
      <c r="AT83" s="5"/>
      <c r="AU83" s="5"/>
      <c r="AV83" s="5"/>
      <c r="AW83" s="5"/>
      <c r="AX83" s="5"/>
      <c r="AY83" s="5"/>
      <c r="AZ83" s="5"/>
      <c r="BA83" s="5"/>
      <c r="BB83" s="5"/>
      <c r="BC83" s="5"/>
      <c r="BD83" s="5"/>
      <c r="BE83" s="5"/>
      <c r="BF83" s="5"/>
      <c r="BJ83" t="s">
        <v>56</v>
      </c>
      <c r="BK83" t="s">
        <v>185</v>
      </c>
      <c r="BL83" s="84">
        <v>2.4300000000000002</v>
      </c>
      <c r="BM83" s="84">
        <v>2.2000000000000002</v>
      </c>
      <c r="BN83" s="84">
        <v>2.2000000000000002</v>
      </c>
      <c r="BO83" s="84">
        <v>0.2</v>
      </c>
      <c r="BP83" s="84">
        <v>0.2</v>
      </c>
      <c r="BQ83" s="84">
        <v>0.2</v>
      </c>
      <c r="BR83" s="84">
        <v>0.2</v>
      </c>
      <c r="BS83" s="84">
        <v>0</v>
      </c>
      <c r="BT83" s="84">
        <v>0</v>
      </c>
      <c r="BU83" s="84">
        <v>0.4</v>
      </c>
      <c r="BV83" s="84">
        <v>0.4</v>
      </c>
      <c r="BW83" s="84">
        <v>0.4</v>
      </c>
      <c r="BX83" s="84">
        <v>0</v>
      </c>
      <c r="BY83" s="84">
        <v>0</v>
      </c>
      <c r="BZ83" s="84">
        <v>0</v>
      </c>
      <c r="CA83" s="5"/>
      <c r="CB83" s="5"/>
      <c r="CC83" s="5"/>
      <c r="CD83" s="5"/>
      <c r="CE83" s="5"/>
      <c r="CF83" s="5"/>
      <c r="CG83" s="5"/>
      <c r="CH83" s="5"/>
      <c r="CI83" s="5"/>
      <c r="CJ83" s="5"/>
      <c r="CK83" s="5"/>
      <c r="CL83" s="5"/>
      <c r="CM83" s="5"/>
      <c r="CN83" s="5"/>
      <c r="CO83" s="5"/>
    </row>
    <row r="84" spans="2:93" x14ac:dyDescent="0.3">
      <c r="B84" t="s">
        <v>186</v>
      </c>
      <c r="C84" s="3" t="s">
        <v>210</v>
      </c>
      <c r="D84" s="132" t="str">
        <f>VLOOKUP(C84,Mapping!$AB$2:$AC$8,2,FALSE)</f>
        <v>Age 0 - 6</v>
      </c>
      <c r="E84" s="132" t="str">
        <f t="shared" si="7"/>
        <v>Warrnambool (C)Age 0 - 6</v>
      </c>
      <c r="F84" s="132" t="str">
        <f>INDEX(Mapping!$Y:$Y,MATCH($B84,Mapping!$W:$W,0))</f>
        <v>Rural</v>
      </c>
      <c r="G84" s="45">
        <f t="shared" si="6"/>
        <v>2545</v>
      </c>
      <c r="H84" s="45">
        <f t="shared" si="6"/>
        <v>2467</v>
      </c>
      <c r="I84" s="45">
        <f t="shared" si="6"/>
        <v>2421</v>
      </c>
      <c r="J84" s="5"/>
      <c r="K84" s="5"/>
      <c r="L84" s="5"/>
      <c r="M84" s="5"/>
      <c r="P84" t="s">
        <v>56</v>
      </c>
      <c r="Q84" t="s">
        <v>186</v>
      </c>
      <c r="R84" s="18">
        <v>621</v>
      </c>
      <c r="S84" s="18">
        <v>571</v>
      </c>
      <c r="T84" s="18">
        <v>583</v>
      </c>
      <c r="U84" s="5"/>
      <c r="V84" s="5"/>
      <c r="W84" s="5"/>
      <c r="X84" s="5"/>
      <c r="AA84" t="s">
        <v>56</v>
      </c>
      <c r="AB84" t="s">
        <v>186</v>
      </c>
      <c r="AC84" s="18">
        <v>0</v>
      </c>
      <c r="AD84" s="18">
        <v>2</v>
      </c>
      <c r="AE84" s="18">
        <v>3</v>
      </c>
      <c r="AF84" s="18">
        <v>0</v>
      </c>
      <c r="AG84" s="18">
        <v>1</v>
      </c>
      <c r="AH84" s="18">
        <v>0</v>
      </c>
      <c r="AI84" s="18">
        <v>2</v>
      </c>
      <c r="AJ84" s="18">
        <v>3</v>
      </c>
      <c r="AK84" s="18">
        <v>1</v>
      </c>
      <c r="AL84" s="18">
        <v>2</v>
      </c>
      <c r="AM84" s="18">
        <v>0</v>
      </c>
      <c r="AN84" s="18">
        <v>1</v>
      </c>
      <c r="AO84" s="18">
        <v>4</v>
      </c>
      <c r="AP84" s="18">
        <v>0</v>
      </c>
      <c r="AQ84" s="18">
        <v>1</v>
      </c>
      <c r="AR84" s="5"/>
      <c r="AS84" s="5"/>
      <c r="AT84" s="5"/>
      <c r="AU84" s="5"/>
      <c r="AV84" s="5"/>
      <c r="AW84" s="5"/>
      <c r="AX84" s="5"/>
      <c r="AY84" s="5"/>
      <c r="AZ84" s="5"/>
      <c r="BA84" s="5"/>
      <c r="BB84" s="5"/>
      <c r="BC84" s="5"/>
      <c r="BD84" s="5"/>
      <c r="BE84" s="5"/>
      <c r="BF84" s="5"/>
      <c r="BJ84" t="s">
        <v>23</v>
      </c>
      <c r="BK84" t="s">
        <v>144</v>
      </c>
      <c r="BL84" s="84">
        <v>3.5</v>
      </c>
      <c r="BM84" s="84">
        <v>3.2</v>
      </c>
      <c r="BN84" s="84">
        <v>2.8</v>
      </c>
      <c r="BO84" s="84">
        <v>0.8</v>
      </c>
      <c r="BP84" s="84">
        <v>0.4</v>
      </c>
      <c r="BQ84" s="84">
        <v>0.4</v>
      </c>
      <c r="BR84" s="84">
        <v>0</v>
      </c>
      <c r="BS84" s="84">
        <v>0</v>
      </c>
      <c r="BT84" s="84">
        <v>0</v>
      </c>
      <c r="BU84" s="84">
        <v>0</v>
      </c>
      <c r="BV84" s="84">
        <v>0</v>
      </c>
      <c r="BW84" s="84">
        <v>0.6</v>
      </c>
      <c r="BX84" s="84">
        <v>0.5</v>
      </c>
      <c r="BY84" s="84">
        <v>0.5</v>
      </c>
      <c r="BZ84" s="84">
        <v>0.5</v>
      </c>
      <c r="CA84" s="5"/>
      <c r="CB84" s="5"/>
      <c r="CC84" s="5"/>
      <c r="CD84" s="5"/>
      <c r="CE84" s="5"/>
      <c r="CF84" s="5"/>
      <c r="CG84" s="5"/>
      <c r="CH84" s="5"/>
      <c r="CI84" s="5"/>
      <c r="CJ84" s="5"/>
      <c r="CK84" s="5"/>
      <c r="CL84" s="5"/>
      <c r="CM84" s="5"/>
      <c r="CN84" s="5"/>
      <c r="CO84" s="5"/>
    </row>
    <row r="85" spans="2:93" x14ac:dyDescent="0.3">
      <c r="B85" t="s">
        <v>162</v>
      </c>
      <c r="C85" s="3" t="s">
        <v>210</v>
      </c>
      <c r="D85" s="132" t="str">
        <f>VLOOKUP(C85,Mapping!$AB$2:$AC$8,2,FALSE)</f>
        <v>Age 0 - 6</v>
      </c>
      <c r="E85" s="132" t="str">
        <f t="shared" si="7"/>
        <v>Wellington (S)Age 0 - 6</v>
      </c>
      <c r="F85" s="132" t="str">
        <f>INDEX(Mapping!$Y:$Y,MATCH($B85,Mapping!$W:$W,0))</f>
        <v>Rural</v>
      </c>
      <c r="G85" s="45">
        <f t="shared" si="6"/>
        <v>3463</v>
      </c>
      <c r="H85" s="45">
        <f t="shared" si="6"/>
        <v>3032</v>
      </c>
      <c r="I85" s="45">
        <f t="shared" si="6"/>
        <v>2969</v>
      </c>
      <c r="J85" s="5"/>
      <c r="K85" s="5"/>
      <c r="L85" s="5"/>
      <c r="M85" s="5"/>
      <c r="P85" t="s">
        <v>41</v>
      </c>
      <c r="Q85" t="s">
        <v>162</v>
      </c>
      <c r="R85" s="18">
        <v>805</v>
      </c>
      <c r="S85" s="18">
        <v>735</v>
      </c>
      <c r="T85" s="18">
        <v>789</v>
      </c>
      <c r="U85" s="5"/>
      <c r="V85" s="5"/>
      <c r="W85" s="5"/>
      <c r="X85" s="5"/>
      <c r="AA85" t="s">
        <v>41</v>
      </c>
      <c r="AB85" t="s">
        <v>162</v>
      </c>
      <c r="AC85" s="18">
        <v>0</v>
      </c>
      <c r="AD85" s="18">
        <v>1</v>
      </c>
      <c r="AE85" s="18">
        <v>3</v>
      </c>
      <c r="AF85" s="18">
        <v>2</v>
      </c>
      <c r="AG85" s="18">
        <v>1</v>
      </c>
      <c r="AH85" s="18">
        <v>0</v>
      </c>
      <c r="AI85" s="18">
        <v>1</v>
      </c>
      <c r="AJ85" s="18">
        <v>3</v>
      </c>
      <c r="AK85" s="18">
        <v>2</v>
      </c>
      <c r="AL85" s="18">
        <v>1</v>
      </c>
      <c r="AM85" s="18">
        <v>0</v>
      </c>
      <c r="AN85" s="18">
        <v>1</v>
      </c>
      <c r="AO85" s="18">
        <v>2</v>
      </c>
      <c r="AP85" s="18">
        <v>3</v>
      </c>
      <c r="AQ85" s="18">
        <v>1</v>
      </c>
      <c r="AR85" s="5"/>
      <c r="AS85" s="5"/>
      <c r="AT85" s="5"/>
      <c r="AU85" s="5"/>
      <c r="AV85" s="5"/>
      <c r="AW85" s="5"/>
      <c r="AX85" s="5"/>
      <c r="AY85" s="5"/>
      <c r="AZ85" s="5"/>
      <c r="BA85" s="5"/>
      <c r="BB85" s="5"/>
      <c r="BC85" s="5"/>
      <c r="BD85" s="5"/>
      <c r="BE85" s="5"/>
      <c r="BF85" s="5"/>
      <c r="BJ85" t="s">
        <v>3</v>
      </c>
      <c r="BK85" t="s">
        <v>125</v>
      </c>
      <c r="BL85" s="84">
        <v>1.3</v>
      </c>
      <c r="BM85" s="84">
        <v>0</v>
      </c>
      <c r="BN85" s="84">
        <v>0.4</v>
      </c>
      <c r="BO85" s="84">
        <v>0</v>
      </c>
      <c r="BP85" s="84">
        <v>0</v>
      </c>
      <c r="BQ85" s="84">
        <v>0</v>
      </c>
      <c r="BR85" s="84">
        <v>0</v>
      </c>
      <c r="BS85" s="84">
        <v>0</v>
      </c>
      <c r="BT85" s="84">
        <v>0</v>
      </c>
      <c r="BU85" s="84">
        <v>2</v>
      </c>
      <c r="BV85" s="84">
        <v>0</v>
      </c>
      <c r="BW85" s="84">
        <v>0.4</v>
      </c>
      <c r="BX85" s="84">
        <v>0</v>
      </c>
      <c r="BY85" s="84">
        <v>0</v>
      </c>
      <c r="BZ85" s="84">
        <v>0</v>
      </c>
      <c r="CA85" s="5"/>
      <c r="CB85" s="5"/>
      <c r="CC85" s="5"/>
      <c r="CD85" s="5"/>
      <c r="CE85" s="5"/>
      <c r="CF85" s="5"/>
      <c r="CG85" s="5"/>
      <c r="CH85" s="5"/>
      <c r="CI85" s="5"/>
      <c r="CJ85" s="5"/>
      <c r="CK85" s="5"/>
      <c r="CL85" s="5"/>
      <c r="CM85" s="5"/>
      <c r="CN85" s="5"/>
      <c r="CO85" s="5"/>
    </row>
    <row r="86" spans="2:93" x14ac:dyDescent="0.3">
      <c r="B86" t="s">
        <v>187</v>
      </c>
      <c r="C86" s="3" t="s">
        <v>210</v>
      </c>
      <c r="D86" s="132" t="str">
        <f>VLOOKUP(C86,Mapping!$AB$2:$AC$8,2,FALSE)</f>
        <v>Age 0 - 6</v>
      </c>
      <c r="E86" s="132" t="str">
        <f t="shared" si="7"/>
        <v>West Wimmera (S)Age 0 - 6</v>
      </c>
      <c r="F86" s="132" t="str">
        <f>INDEX(Mapping!$Y:$Y,MATCH($B86,Mapping!$W:$W,0))</f>
        <v>Rural</v>
      </c>
      <c r="G86" s="45">
        <f t="shared" si="6"/>
        <v>180</v>
      </c>
      <c r="H86" s="45">
        <f t="shared" si="6"/>
        <v>185</v>
      </c>
      <c r="I86" s="45">
        <f t="shared" si="6"/>
        <v>215</v>
      </c>
      <c r="J86" s="5"/>
      <c r="K86" s="5"/>
      <c r="L86" s="5"/>
      <c r="M86" s="5"/>
      <c r="P86" t="s">
        <v>56</v>
      </c>
      <c r="Q86" t="s">
        <v>187</v>
      </c>
      <c r="R86" s="18">
        <v>50</v>
      </c>
      <c r="S86" s="18">
        <v>38</v>
      </c>
      <c r="T86" s="18">
        <v>42</v>
      </c>
      <c r="U86" s="5"/>
      <c r="V86" s="5"/>
      <c r="W86" s="5"/>
      <c r="X86" s="5"/>
      <c r="AA86" t="s">
        <v>56</v>
      </c>
      <c r="AB86" t="s">
        <v>187</v>
      </c>
      <c r="AC86" s="18">
        <v>0</v>
      </c>
      <c r="AD86" s="18">
        <v>1</v>
      </c>
      <c r="AE86" s="18">
        <v>0</v>
      </c>
      <c r="AF86" s="18">
        <v>0</v>
      </c>
      <c r="AG86" s="18">
        <v>1</v>
      </c>
      <c r="AH86" s="18">
        <v>0</v>
      </c>
      <c r="AI86" s="18">
        <v>1</v>
      </c>
      <c r="AJ86" s="18">
        <v>0</v>
      </c>
      <c r="AK86" s="18">
        <v>0</v>
      </c>
      <c r="AL86" s="18">
        <v>1</v>
      </c>
      <c r="AM86" s="18">
        <v>0</v>
      </c>
      <c r="AN86" s="18">
        <v>0</v>
      </c>
      <c r="AO86" s="18">
        <v>0</v>
      </c>
      <c r="AP86" s="18">
        <v>0</v>
      </c>
      <c r="AQ86" s="18">
        <v>0</v>
      </c>
      <c r="AR86" s="5"/>
      <c r="AS86" s="5"/>
      <c r="AT86" s="5"/>
      <c r="AU86" s="5"/>
      <c r="AV86" s="5"/>
      <c r="AW86" s="5"/>
      <c r="AX86" s="5"/>
      <c r="AY86" s="5"/>
      <c r="AZ86" s="5"/>
      <c r="BA86" s="5"/>
      <c r="BB86" s="5"/>
      <c r="BC86" s="5"/>
      <c r="BD86" s="5"/>
      <c r="BE86" s="5"/>
      <c r="BF86" s="5"/>
      <c r="BJ86" t="s">
        <v>3</v>
      </c>
      <c r="BK86" t="s">
        <v>126</v>
      </c>
      <c r="BL86" s="84">
        <v>2.2000000000000002</v>
      </c>
      <c r="BM86" s="84">
        <v>1.4</v>
      </c>
      <c r="BN86" s="84">
        <v>2</v>
      </c>
      <c r="BO86" s="84">
        <v>0.4</v>
      </c>
      <c r="BP86" s="84">
        <v>0.8</v>
      </c>
      <c r="BQ86" s="84">
        <v>0.2</v>
      </c>
      <c r="BR86" s="84">
        <v>0</v>
      </c>
      <c r="BS86" s="84">
        <v>0</v>
      </c>
      <c r="BT86" s="84">
        <v>0</v>
      </c>
      <c r="BU86" s="84">
        <v>0.4</v>
      </c>
      <c r="BV86" s="84">
        <v>0.74</v>
      </c>
      <c r="BW86" s="84">
        <v>0.75</v>
      </c>
      <c r="BX86" s="84">
        <v>0</v>
      </c>
      <c r="BY86" s="84">
        <v>0</v>
      </c>
      <c r="BZ86" s="84">
        <v>0</v>
      </c>
      <c r="CA86" s="5"/>
      <c r="CB86" s="5"/>
      <c r="CC86" s="5"/>
      <c r="CD86" s="5"/>
      <c r="CE86" s="5"/>
      <c r="CF86" s="5"/>
      <c r="CG86" s="5"/>
      <c r="CH86" s="5"/>
      <c r="CI86" s="5"/>
      <c r="CJ86" s="5"/>
      <c r="CK86" s="5"/>
      <c r="CL86" s="5"/>
      <c r="CM86" s="5"/>
      <c r="CN86" s="5"/>
      <c r="CO86" s="5"/>
    </row>
    <row r="87" spans="2:93" x14ac:dyDescent="0.3">
      <c r="B87" t="s">
        <v>127</v>
      </c>
      <c r="C87" s="3" t="s">
        <v>210</v>
      </c>
      <c r="D87" s="132" t="str">
        <f>VLOOKUP(C87,Mapping!$AB$2:$AC$8,2,FALSE)</f>
        <v>Age 0 - 6</v>
      </c>
      <c r="E87" s="132" t="str">
        <f t="shared" si="7"/>
        <v>Whitehorse (C)Age 0 - 6</v>
      </c>
      <c r="F87" s="132" t="str">
        <f>INDEX(Mapping!$Y:$Y,MATCH($B87,Mapping!$W:$W,0))</f>
        <v>Metro</v>
      </c>
      <c r="G87" s="45">
        <f t="shared" si="6"/>
        <v>11543</v>
      </c>
      <c r="H87" s="45">
        <f t="shared" si="6"/>
        <v>20023</v>
      </c>
      <c r="I87" s="45">
        <f t="shared" si="6"/>
        <v>8948</v>
      </c>
      <c r="J87" s="5"/>
      <c r="K87" s="5"/>
      <c r="L87" s="5"/>
      <c r="M87" s="5"/>
      <c r="P87" t="s">
        <v>3</v>
      </c>
      <c r="Q87" t="s">
        <v>127</v>
      </c>
      <c r="R87" s="18">
        <v>1412</v>
      </c>
      <c r="S87" s="18">
        <v>1254</v>
      </c>
      <c r="T87" s="18">
        <v>1351</v>
      </c>
      <c r="U87" s="5"/>
      <c r="V87" s="5"/>
      <c r="W87" s="5"/>
      <c r="X87" s="5"/>
      <c r="AA87" t="s">
        <v>3</v>
      </c>
      <c r="AB87" t="s">
        <v>127</v>
      </c>
      <c r="AC87" s="18">
        <v>2</v>
      </c>
      <c r="AD87" s="18">
        <v>2</v>
      </c>
      <c r="AE87" s="18">
        <v>8</v>
      </c>
      <c r="AF87" s="18">
        <v>5</v>
      </c>
      <c r="AG87" s="18">
        <v>5</v>
      </c>
      <c r="AH87" s="18">
        <v>2</v>
      </c>
      <c r="AI87" s="18">
        <v>3</v>
      </c>
      <c r="AJ87" s="18">
        <v>7</v>
      </c>
      <c r="AK87" s="18">
        <v>8</v>
      </c>
      <c r="AL87" s="18">
        <v>5</v>
      </c>
      <c r="AM87" s="18">
        <v>4</v>
      </c>
      <c r="AN87" s="18">
        <v>1</v>
      </c>
      <c r="AO87" s="18">
        <v>3</v>
      </c>
      <c r="AP87" s="18">
        <v>7</v>
      </c>
      <c r="AQ87" s="18">
        <v>7</v>
      </c>
      <c r="AR87" s="5"/>
      <c r="AS87" s="5"/>
      <c r="AT87" s="5"/>
      <c r="AU87" s="5"/>
      <c r="AV87" s="5"/>
      <c r="AW87" s="5"/>
      <c r="AX87" s="5"/>
      <c r="AY87" s="5"/>
      <c r="AZ87" s="5"/>
      <c r="BA87" s="5"/>
      <c r="BB87" s="5"/>
      <c r="BC87" s="5"/>
      <c r="BD87" s="5"/>
      <c r="BE87" s="5"/>
      <c r="BF87" s="5"/>
      <c r="BJ87" t="s">
        <v>56</v>
      </c>
      <c r="BK87" t="s">
        <v>186</v>
      </c>
      <c r="BL87" s="84">
        <v>2.8</v>
      </c>
      <c r="BM87" s="84">
        <v>2.8</v>
      </c>
      <c r="BN87" s="84">
        <v>2.8</v>
      </c>
      <c r="BO87" s="84">
        <v>0.4</v>
      </c>
      <c r="BP87" s="84">
        <v>0.4</v>
      </c>
      <c r="BQ87" s="84">
        <v>0.2</v>
      </c>
      <c r="BR87" s="84">
        <v>0</v>
      </c>
      <c r="BS87" s="84">
        <v>0</v>
      </c>
      <c r="BT87" s="84">
        <v>0</v>
      </c>
      <c r="BU87" s="84">
        <v>0.4</v>
      </c>
      <c r="BV87" s="84">
        <v>0.4</v>
      </c>
      <c r="BW87" s="84">
        <v>0.4</v>
      </c>
      <c r="BX87" s="84">
        <v>0.3</v>
      </c>
      <c r="BY87" s="84">
        <v>0.3</v>
      </c>
      <c r="BZ87" s="84">
        <v>0.3</v>
      </c>
      <c r="CA87" s="5"/>
      <c r="CB87" s="5"/>
      <c r="CC87" s="5"/>
      <c r="CD87" s="5"/>
      <c r="CE87" s="5"/>
      <c r="CF87" s="5"/>
      <c r="CG87" s="5"/>
      <c r="CH87" s="5"/>
      <c r="CI87" s="5"/>
      <c r="CJ87" s="5"/>
      <c r="CK87" s="5"/>
      <c r="CL87" s="5"/>
      <c r="CM87" s="5"/>
      <c r="CN87" s="5"/>
      <c r="CO87" s="5"/>
    </row>
    <row r="88" spans="2:93" x14ac:dyDescent="0.3">
      <c r="B88" t="s">
        <v>145</v>
      </c>
      <c r="C88" s="3" t="s">
        <v>210</v>
      </c>
      <c r="D88" s="132" t="str">
        <f>VLOOKUP(C88,Mapping!$AB$2:$AC$8,2,FALSE)</f>
        <v>Age 0 - 6</v>
      </c>
      <c r="E88" s="132" t="str">
        <f t="shared" si="7"/>
        <v>Whittlesea (C)Age 0 - 6</v>
      </c>
      <c r="F88" s="132" t="str">
        <f>INDEX(Mapping!$Y:$Y,MATCH($B88,Mapping!$W:$W,0))</f>
        <v>Interface</v>
      </c>
      <c r="G88" s="45">
        <f t="shared" si="6"/>
        <v>19504</v>
      </c>
      <c r="H88" s="45">
        <f t="shared" si="6"/>
        <v>20828</v>
      </c>
      <c r="I88" s="45">
        <f t="shared" si="6"/>
        <v>21585</v>
      </c>
      <c r="J88" s="5"/>
      <c r="K88" s="5"/>
      <c r="L88" s="5"/>
      <c r="M88" s="5"/>
      <c r="P88" t="s">
        <v>23</v>
      </c>
      <c r="Q88" t="s">
        <v>145</v>
      </c>
      <c r="R88" s="18">
        <v>4324</v>
      </c>
      <c r="S88" s="18">
        <v>4301</v>
      </c>
      <c r="T88" s="18">
        <v>4690</v>
      </c>
      <c r="U88" s="5"/>
      <c r="V88" s="5"/>
      <c r="W88" s="5"/>
      <c r="X88" s="5"/>
      <c r="AA88" t="s">
        <v>23</v>
      </c>
      <c r="AB88" t="s">
        <v>145</v>
      </c>
      <c r="AC88" s="18">
        <v>21</v>
      </c>
      <c r="AD88" s="18">
        <v>3</v>
      </c>
      <c r="AE88" s="18">
        <v>8</v>
      </c>
      <c r="AF88" s="18">
        <v>8</v>
      </c>
      <c r="AG88" s="18">
        <v>8</v>
      </c>
      <c r="AH88" s="18">
        <v>19</v>
      </c>
      <c r="AI88" s="18">
        <v>4</v>
      </c>
      <c r="AJ88" s="18">
        <v>5</v>
      </c>
      <c r="AK88" s="18">
        <v>6</v>
      </c>
      <c r="AL88" s="18">
        <v>7</v>
      </c>
      <c r="AM88" s="18">
        <v>0</v>
      </c>
      <c r="AN88" s="18">
        <v>0</v>
      </c>
      <c r="AO88" s="18">
        <v>0</v>
      </c>
      <c r="AP88" s="18">
        <v>0</v>
      </c>
      <c r="AQ88" s="18">
        <v>0</v>
      </c>
      <c r="AR88" s="5"/>
      <c r="AS88" s="5"/>
      <c r="AT88" s="5"/>
      <c r="AU88" s="5"/>
      <c r="AV88" s="5"/>
      <c r="AW88" s="5"/>
      <c r="AX88" s="5"/>
      <c r="AY88" s="5"/>
      <c r="AZ88" s="5"/>
      <c r="BA88" s="5"/>
      <c r="BB88" s="5"/>
      <c r="BC88" s="5"/>
      <c r="BD88" s="5"/>
      <c r="BE88" s="5"/>
      <c r="BF88" s="5"/>
      <c r="BJ88" t="s">
        <v>41</v>
      </c>
      <c r="BK88" t="s">
        <v>162</v>
      </c>
      <c r="BL88" s="84">
        <v>4</v>
      </c>
      <c r="BM88" s="84">
        <v>3.0999999999999996</v>
      </c>
      <c r="BN88" s="84">
        <v>3.1999999999999997</v>
      </c>
      <c r="BO88" s="84">
        <v>0.2</v>
      </c>
      <c r="BP88" s="84">
        <v>0.1</v>
      </c>
      <c r="BQ88" s="84">
        <v>0.1</v>
      </c>
      <c r="BR88" s="84">
        <v>0.05</v>
      </c>
      <c r="BS88" s="84">
        <v>0.05</v>
      </c>
      <c r="BT88" s="84">
        <v>0.05</v>
      </c>
      <c r="BU88" s="84">
        <v>0.05</v>
      </c>
      <c r="BV88" s="84">
        <v>1.1500000000000001</v>
      </c>
      <c r="BW88" s="84">
        <v>1.05</v>
      </c>
      <c r="BX88" s="84">
        <v>0</v>
      </c>
      <c r="BY88" s="84">
        <v>0</v>
      </c>
      <c r="BZ88" s="84">
        <v>0</v>
      </c>
      <c r="CA88" s="5"/>
      <c r="CB88" s="5"/>
      <c r="CC88" s="5"/>
      <c r="CD88" s="5"/>
      <c r="CE88" s="5"/>
      <c r="CF88" s="5"/>
      <c r="CG88" s="5"/>
      <c r="CH88" s="5"/>
      <c r="CI88" s="5"/>
      <c r="CJ88" s="5"/>
      <c r="CK88" s="5"/>
      <c r="CL88" s="5"/>
      <c r="CM88" s="5"/>
      <c r="CN88" s="5"/>
      <c r="CO88" s="5"/>
    </row>
    <row r="89" spans="2:93" x14ac:dyDescent="0.3">
      <c r="B89" t="s">
        <v>128</v>
      </c>
      <c r="C89" s="3" t="s">
        <v>210</v>
      </c>
      <c r="D89" s="132" t="str">
        <f>VLOOKUP(C89,Mapping!$AB$2:$AC$8,2,FALSE)</f>
        <v>Age 0 - 6</v>
      </c>
      <c r="E89" s="132" t="str">
        <f t="shared" si="7"/>
        <v>Wodonga (RC)Age 0 - 6</v>
      </c>
      <c r="F89" s="132" t="str">
        <f>INDEX(Mapping!$Y:$Y,MATCH($B89,Mapping!$W:$W,0))</f>
        <v>Rural</v>
      </c>
      <c r="G89" s="45">
        <f t="shared" si="6"/>
        <v>3584</v>
      </c>
      <c r="H89" s="45">
        <f t="shared" si="6"/>
        <v>3534</v>
      </c>
      <c r="I89" s="45">
        <f t="shared" si="6"/>
        <v>3734</v>
      </c>
      <c r="J89" s="5"/>
      <c r="K89" s="5"/>
      <c r="L89" s="5"/>
      <c r="M89" s="5"/>
      <c r="P89" t="s">
        <v>3</v>
      </c>
      <c r="Q89" t="s">
        <v>128</v>
      </c>
      <c r="R89" s="18">
        <v>894</v>
      </c>
      <c r="S89" s="18">
        <v>830</v>
      </c>
      <c r="T89" s="18">
        <v>886</v>
      </c>
      <c r="U89" s="5"/>
      <c r="V89" s="5"/>
      <c r="W89" s="5"/>
      <c r="X89" s="5"/>
      <c r="AA89" t="s">
        <v>3</v>
      </c>
      <c r="AB89" t="s">
        <v>128</v>
      </c>
      <c r="AC89" s="18">
        <v>4</v>
      </c>
      <c r="AD89" s="18">
        <v>2</v>
      </c>
      <c r="AE89" s="18">
        <v>1</v>
      </c>
      <c r="AF89" s="18">
        <v>7</v>
      </c>
      <c r="AG89" s="18">
        <v>1</v>
      </c>
      <c r="AH89" s="18">
        <v>3</v>
      </c>
      <c r="AI89" s="18">
        <v>1</v>
      </c>
      <c r="AJ89" s="18">
        <v>2</v>
      </c>
      <c r="AK89" s="18">
        <v>3</v>
      </c>
      <c r="AL89" s="18">
        <v>0</v>
      </c>
      <c r="AM89" s="18">
        <v>3</v>
      </c>
      <c r="AN89" s="18">
        <v>1</v>
      </c>
      <c r="AO89" s="18">
        <v>1</v>
      </c>
      <c r="AP89" s="18">
        <v>4</v>
      </c>
      <c r="AQ89" s="18">
        <v>0</v>
      </c>
      <c r="AR89" s="5"/>
      <c r="AS89" s="5"/>
      <c r="AT89" s="5"/>
      <c r="AU89" s="5"/>
      <c r="AV89" s="5"/>
      <c r="AW89" s="5"/>
      <c r="AX89" s="5"/>
      <c r="AY89" s="5"/>
      <c r="AZ89" s="5"/>
      <c r="BA89" s="5"/>
      <c r="BB89" s="5"/>
      <c r="BC89" s="5"/>
      <c r="BD89" s="5"/>
      <c r="BE89" s="5"/>
      <c r="BF89" s="5"/>
      <c r="BJ89" t="s">
        <v>56</v>
      </c>
      <c r="BK89" t="s">
        <v>187</v>
      </c>
      <c r="BL89" s="84">
        <v>0.6</v>
      </c>
      <c r="BM89" s="84">
        <v>0.6</v>
      </c>
      <c r="BN89" s="84">
        <v>0</v>
      </c>
      <c r="BO89" s="84">
        <v>0</v>
      </c>
      <c r="BP89" s="84">
        <v>0</v>
      </c>
      <c r="BQ89" s="84">
        <v>0.1</v>
      </c>
      <c r="BR89" s="84">
        <v>0</v>
      </c>
      <c r="BS89" s="84">
        <v>0</v>
      </c>
      <c r="BT89" s="84">
        <v>0</v>
      </c>
      <c r="BU89" s="84">
        <v>0.2</v>
      </c>
      <c r="BV89" s="84">
        <v>0.2</v>
      </c>
      <c r="BW89" s="84">
        <v>0.8</v>
      </c>
      <c r="BX89" s="84">
        <v>0</v>
      </c>
      <c r="BY89" s="84">
        <v>0</v>
      </c>
      <c r="BZ89" s="84">
        <v>0</v>
      </c>
      <c r="CA89" s="5"/>
      <c r="CB89" s="5"/>
      <c r="CC89" s="5"/>
      <c r="CD89" s="5"/>
      <c r="CE89" s="5"/>
      <c r="CF89" s="5"/>
      <c r="CG89" s="5"/>
      <c r="CH89" s="5"/>
      <c r="CI89" s="5"/>
      <c r="CJ89" s="5"/>
      <c r="CK89" s="5"/>
      <c r="CL89" s="5"/>
      <c r="CM89" s="5"/>
      <c r="CN89" s="5"/>
      <c r="CO89" s="5"/>
    </row>
    <row r="90" spans="2:93" x14ac:dyDescent="0.3">
      <c r="B90" t="s">
        <v>188</v>
      </c>
      <c r="C90" s="3" t="s">
        <v>210</v>
      </c>
      <c r="D90" s="132" t="str">
        <f>VLOOKUP(C90,Mapping!$AB$2:$AC$8,2,FALSE)</f>
        <v>Age 0 - 6</v>
      </c>
      <c r="E90" s="132" t="str">
        <f t="shared" si="7"/>
        <v>Wyndham (C)Age 0 - 6</v>
      </c>
      <c r="F90" s="132" t="str">
        <f>INDEX(Mapping!$Y:$Y,MATCH($B90,Mapping!$W:$W,0))</f>
        <v>Interface</v>
      </c>
      <c r="G90" s="45">
        <f t="shared" si="6"/>
        <v>26820</v>
      </c>
      <c r="H90" s="45">
        <f t="shared" si="6"/>
        <v>27698</v>
      </c>
      <c r="I90" s="45">
        <f t="shared" si="6"/>
        <v>29375</v>
      </c>
      <c r="J90" s="5"/>
      <c r="K90" s="5"/>
      <c r="L90" s="5"/>
      <c r="M90" s="5"/>
      <c r="P90" t="s">
        <v>56</v>
      </c>
      <c r="Q90" t="s">
        <v>188</v>
      </c>
      <c r="R90" s="18">
        <v>5629</v>
      </c>
      <c r="S90" s="18">
        <v>5629</v>
      </c>
      <c r="T90" s="18">
        <v>6568</v>
      </c>
      <c r="U90" s="5"/>
      <c r="V90" s="5"/>
      <c r="W90" s="5"/>
      <c r="X90" s="5"/>
      <c r="AA90" t="s">
        <v>56</v>
      </c>
      <c r="AB90" t="s">
        <v>188</v>
      </c>
      <c r="AC90" s="18">
        <v>9</v>
      </c>
      <c r="AD90" s="18">
        <v>10</v>
      </c>
      <c r="AE90" s="18">
        <v>10</v>
      </c>
      <c r="AF90" s="18">
        <v>12</v>
      </c>
      <c r="AG90" s="18">
        <v>9</v>
      </c>
      <c r="AH90" s="18">
        <v>10</v>
      </c>
      <c r="AI90" s="18">
        <v>13</v>
      </c>
      <c r="AJ90" s="18">
        <v>12</v>
      </c>
      <c r="AK90" s="18">
        <v>10</v>
      </c>
      <c r="AL90" s="18">
        <v>8</v>
      </c>
      <c r="AM90" s="18">
        <v>13</v>
      </c>
      <c r="AN90" s="18">
        <v>14</v>
      </c>
      <c r="AO90" s="18">
        <v>15</v>
      </c>
      <c r="AP90" s="18">
        <v>13</v>
      </c>
      <c r="AQ90" s="18">
        <v>12</v>
      </c>
      <c r="AR90" s="5"/>
      <c r="AS90" s="5"/>
      <c r="AT90" s="5"/>
      <c r="AU90" s="5"/>
      <c r="AV90" s="5"/>
      <c r="AW90" s="5"/>
      <c r="AX90" s="5"/>
      <c r="AY90" s="5"/>
      <c r="AZ90" s="5"/>
      <c r="BA90" s="5"/>
      <c r="BB90" s="5"/>
      <c r="BC90" s="5"/>
      <c r="BD90" s="5"/>
      <c r="BE90" s="5"/>
      <c r="BF90" s="5"/>
      <c r="BJ90" t="s">
        <v>3</v>
      </c>
      <c r="BK90" t="s">
        <v>127</v>
      </c>
      <c r="BL90" s="84">
        <v>13.3</v>
      </c>
      <c r="BM90" s="84">
        <v>13.3</v>
      </c>
      <c r="BN90" s="84">
        <v>12.6</v>
      </c>
      <c r="BO90" s="84">
        <v>1</v>
      </c>
      <c r="BP90" s="84">
        <v>1</v>
      </c>
      <c r="BQ90" s="84">
        <v>0.8</v>
      </c>
      <c r="BR90" s="84">
        <v>0</v>
      </c>
      <c r="BS90" s="84">
        <v>0</v>
      </c>
      <c r="BT90" s="84">
        <v>0</v>
      </c>
      <c r="BU90" s="84">
        <v>0.8</v>
      </c>
      <c r="BV90" s="84">
        <v>1</v>
      </c>
      <c r="BW90" s="84">
        <v>1</v>
      </c>
      <c r="BX90" s="84">
        <v>0</v>
      </c>
      <c r="BY90" s="84">
        <v>0</v>
      </c>
      <c r="BZ90" s="84">
        <v>0</v>
      </c>
      <c r="CA90" s="5"/>
      <c r="CB90" s="5"/>
      <c r="CC90" s="5"/>
      <c r="CD90" s="5"/>
      <c r="CE90" s="5"/>
      <c r="CF90" s="5"/>
      <c r="CG90" s="5"/>
      <c r="CH90" s="5"/>
      <c r="CI90" s="5"/>
      <c r="CJ90" s="5"/>
      <c r="CK90" s="5"/>
      <c r="CL90" s="5"/>
      <c r="CM90" s="5"/>
      <c r="CN90" s="5"/>
      <c r="CO90" s="5"/>
    </row>
    <row r="91" spans="2:93" x14ac:dyDescent="0.3">
      <c r="B91" t="s">
        <v>146</v>
      </c>
      <c r="C91" s="3" t="s">
        <v>210</v>
      </c>
      <c r="D91" s="132" t="str">
        <f>VLOOKUP(C91,Mapping!$AB$2:$AC$8,2,FALSE)</f>
        <v>Age 0 - 6</v>
      </c>
      <c r="E91" s="132" t="str">
        <f t="shared" si="7"/>
        <v>Yarra (C)Age 0 - 6</v>
      </c>
      <c r="F91" s="132" t="str">
        <f>INDEX(Mapping!$Y:$Y,MATCH($B91,Mapping!$W:$W,0))</f>
        <v>Metro</v>
      </c>
      <c r="G91" s="45">
        <f t="shared" si="6"/>
        <v>5501</v>
      </c>
      <c r="H91" s="45">
        <f t="shared" si="6"/>
        <v>5528</v>
      </c>
      <c r="I91" s="45">
        <f t="shared" si="6"/>
        <v>5466</v>
      </c>
      <c r="J91" s="5"/>
      <c r="K91" s="5"/>
      <c r="L91" s="5"/>
      <c r="M91" s="5"/>
      <c r="P91" t="s">
        <v>23</v>
      </c>
      <c r="Q91" t="s">
        <v>146</v>
      </c>
      <c r="R91" s="18">
        <v>981</v>
      </c>
      <c r="S91" s="18">
        <v>893</v>
      </c>
      <c r="T91" s="18">
        <v>883</v>
      </c>
      <c r="U91" s="5"/>
      <c r="V91" s="5"/>
      <c r="W91" s="5"/>
      <c r="X91" s="5"/>
      <c r="AA91" t="s">
        <v>23</v>
      </c>
      <c r="AB91" t="s">
        <v>146</v>
      </c>
      <c r="AC91" s="18">
        <v>2</v>
      </c>
      <c r="AD91" s="18">
        <v>5</v>
      </c>
      <c r="AE91" s="18">
        <v>2</v>
      </c>
      <c r="AF91" s="18">
        <v>3</v>
      </c>
      <c r="AG91" s="18">
        <v>2</v>
      </c>
      <c r="AH91" s="18">
        <v>2</v>
      </c>
      <c r="AI91" s="18">
        <v>4</v>
      </c>
      <c r="AJ91" s="18">
        <v>2</v>
      </c>
      <c r="AK91" s="18">
        <v>3</v>
      </c>
      <c r="AL91" s="18">
        <v>2</v>
      </c>
      <c r="AM91" s="18">
        <v>3</v>
      </c>
      <c r="AN91" s="18">
        <v>3</v>
      </c>
      <c r="AO91" s="18">
        <v>3</v>
      </c>
      <c r="AP91" s="18">
        <v>2</v>
      </c>
      <c r="AQ91" s="18">
        <v>1</v>
      </c>
      <c r="AR91" s="5"/>
      <c r="AS91" s="5"/>
      <c r="AT91" s="5"/>
      <c r="AU91" s="5"/>
      <c r="AV91" s="5"/>
      <c r="AW91" s="5"/>
      <c r="AX91" s="5"/>
      <c r="AY91" s="5"/>
      <c r="AZ91" s="5"/>
      <c r="BA91" s="5"/>
      <c r="BB91" s="5"/>
      <c r="BC91" s="5"/>
      <c r="BD91" s="5"/>
      <c r="BE91" s="5"/>
      <c r="BF91" s="5"/>
      <c r="BJ91" t="s">
        <v>23</v>
      </c>
      <c r="BK91" t="s">
        <v>145</v>
      </c>
      <c r="BL91" s="84">
        <v>26.35</v>
      </c>
      <c r="BM91" s="84">
        <v>25.12</v>
      </c>
      <c r="BN91" s="84">
        <v>29.38</v>
      </c>
      <c r="BO91" s="84">
        <v>4.3600000000000003</v>
      </c>
      <c r="BP91" s="84">
        <v>4.3600000000000003</v>
      </c>
      <c r="BQ91" s="84">
        <v>4.5199999999999996</v>
      </c>
      <c r="BR91" s="84">
        <v>0</v>
      </c>
      <c r="BS91" s="84">
        <v>0</v>
      </c>
      <c r="BT91" s="84">
        <v>0</v>
      </c>
      <c r="BU91" s="84">
        <v>2</v>
      </c>
      <c r="BV91" s="84">
        <v>3.26</v>
      </c>
      <c r="BW91" s="84">
        <v>6.2</v>
      </c>
      <c r="BX91" s="84">
        <v>2.2599999999999998</v>
      </c>
      <c r="BY91" s="84">
        <v>2.4700000000000002</v>
      </c>
      <c r="BZ91" s="84">
        <v>0</v>
      </c>
      <c r="CA91" s="5"/>
      <c r="CB91" s="5"/>
      <c r="CC91" s="5"/>
      <c r="CD91" s="5"/>
      <c r="CE91" s="5"/>
      <c r="CF91" s="5"/>
      <c r="CG91" s="5"/>
      <c r="CH91" s="5"/>
      <c r="CI91" s="5"/>
      <c r="CJ91" s="5"/>
      <c r="CK91" s="5"/>
      <c r="CL91" s="5"/>
      <c r="CM91" s="5"/>
      <c r="CN91" s="5"/>
      <c r="CO91" s="5"/>
    </row>
    <row r="92" spans="2:93" x14ac:dyDescent="0.3">
      <c r="B92" t="s">
        <v>129</v>
      </c>
      <c r="C92" s="3" t="s">
        <v>210</v>
      </c>
      <c r="D92" s="132" t="str">
        <f>VLOOKUP(C92,Mapping!$AB$2:$AC$8,2,FALSE)</f>
        <v>Age 0 - 6</v>
      </c>
      <c r="E92" s="132" t="str">
        <f t="shared" si="7"/>
        <v>Yarra Ranges (S)Age 0 - 6</v>
      </c>
      <c r="F92" s="132" t="str">
        <f>INDEX(Mapping!$Y:$Y,MATCH($B92,Mapping!$W:$W,0))</f>
        <v>Interface</v>
      </c>
      <c r="G92" s="45">
        <f t="shared" si="6"/>
        <v>11241</v>
      </c>
      <c r="H92" s="45">
        <f t="shared" si="6"/>
        <v>11376</v>
      </c>
      <c r="I92" s="45">
        <f t="shared" si="6"/>
        <v>11345</v>
      </c>
      <c r="J92" s="5"/>
      <c r="K92" s="5"/>
      <c r="L92" s="5"/>
      <c r="M92" s="5"/>
      <c r="P92" t="s">
        <v>3</v>
      </c>
      <c r="Q92" t="s">
        <v>129</v>
      </c>
      <c r="R92" s="18">
        <v>2016</v>
      </c>
      <c r="S92" s="18">
        <v>1767</v>
      </c>
      <c r="T92" s="18">
        <v>1908</v>
      </c>
      <c r="U92" s="5"/>
      <c r="V92" s="5"/>
      <c r="W92" s="5"/>
      <c r="X92" s="5"/>
      <c r="AA92" t="s">
        <v>3</v>
      </c>
      <c r="AB92" t="s">
        <v>129</v>
      </c>
      <c r="AC92" s="18">
        <v>5</v>
      </c>
      <c r="AD92" s="18">
        <v>5</v>
      </c>
      <c r="AE92" s="18">
        <v>13</v>
      </c>
      <c r="AF92" s="18">
        <v>3</v>
      </c>
      <c r="AG92" s="18">
        <v>9</v>
      </c>
      <c r="AH92" s="18">
        <v>5</v>
      </c>
      <c r="AI92" s="18">
        <v>5</v>
      </c>
      <c r="AJ92" s="18">
        <v>10</v>
      </c>
      <c r="AK92" s="18">
        <v>4</v>
      </c>
      <c r="AL92" s="18">
        <v>9</v>
      </c>
      <c r="AM92" s="18">
        <v>8</v>
      </c>
      <c r="AN92" s="18">
        <v>2</v>
      </c>
      <c r="AO92" s="18">
        <v>8</v>
      </c>
      <c r="AP92" s="18">
        <v>8</v>
      </c>
      <c r="AQ92" s="18">
        <v>9</v>
      </c>
      <c r="AR92" s="5"/>
      <c r="AS92" s="5"/>
      <c r="AT92" s="5"/>
      <c r="AU92" s="5"/>
      <c r="AV92" s="5"/>
      <c r="AW92" s="5"/>
      <c r="AX92" s="5"/>
      <c r="AY92" s="5"/>
      <c r="AZ92" s="5"/>
      <c r="BA92" s="5"/>
      <c r="BB92" s="5"/>
      <c r="BC92" s="5"/>
      <c r="BD92" s="5"/>
      <c r="BE92" s="5"/>
      <c r="BF92" s="5"/>
      <c r="BJ92" t="s">
        <v>3</v>
      </c>
      <c r="BK92" t="s">
        <v>128</v>
      </c>
      <c r="BL92" s="84">
        <v>4.5999999999999996</v>
      </c>
      <c r="BM92" s="84">
        <v>4.5999999999999996</v>
      </c>
      <c r="BN92" s="84">
        <v>4.8</v>
      </c>
      <c r="BO92" s="84">
        <v>0.4</v>
      </c>
      <c r="BP92" s="84">
        <v>0.6</v>
      </c>
      <c r="BQ92" s="84">
        <v>0.4</v>
      </c>
      <c r="BR92" s="84">
        <v>0</v>
      </c>
      <c r="BS92" s="84">
        <v>0</v>
      </c>
      <c r="BT92" s="84">
        <v>0</v>
      </c>
      <c r="BU92" s="84">
        <v>1</v>
      </c>
      <c r="BV92" s="84">
        <v>1</v>
      </c>
      <c r="BW92" s="84">
        <v>0.6</v>
      </c>
      <c r="BX92" s="84">
        <v>0.2</v>
      </c>
      <c r="BY92" s="84">
        <v>0</v>
      </c>
      <c r="BZ92" s="84">
        <v>0</v>
      </c>
      <c r="CA92" s="5"/>
      <c r="CB92" s="5"/>
      <c r="CC92" s="5"/>
      <c r="CD92" s="5"/>
      <c r="CE92" s="5"/>
      <c r="CF92" s="5"/>
      <c r="CG92" s="5"/>
      <c r="CH92" s="5"/>
      <c r="CI92" s="5"/>
      <c r="CJ92" s="5"/>
      <c r="CK92" s="5"/>
      <c r="CL92" s="5"/>
      <c r="CM92" s="5"/>
      <c r="CN92" s="5"/>
      <c r="CO92" s="5"/>
    </row>
    <row r="93" spans="2:93" x14ac:dyDescent="0.3">
      <c r="B93" t="s">
        <v>189</v>
      </c>
      <c r="C93" s="3" t="s">
        <v>210</v>
      </c>
      <c r="D93" s="132" t="str">
        <f>VLOOKUP(C93,Mapping!$AB$2:$AC$8,2,FALSE)</f>
        <v>Age 0 - 6</v>
      </c>
      <c r="E93" s="132" t="str">
        <f t="shared" si="7"/>
        <v>Yarriambiack (S)Age 0 - 6</v>
      </c>
      <c r="F93" s="132" t="str">
        <f>INDEX(Mapping!$Y:$Y,MATCH($B93,Mapping!$W:$W,0))</f>
        <v>Rural</v>
      </c>
      <c r="G93" s="45">
        <f t="shared" si="6"/>
        <v>420</v>
      </c>
      <c r="H93" s="45">
        <f t="shared" si="6"/>
        <v>414</v>
      </c>
      <c r="I93" s="45">
        <f t="shared" si="6"/>
        <v>392</v>
      </c>
      <c r="J93" s="5"/>
      <c r="K93" s="5"/>
      <c r="L93" s="5"/>
      <c r="M93" s="5"/>
      <c r="P93" t="s">
        <v>56</v>
      </c>
      <c r="Q93" t="s">
        <v>189</v>
      </c>
      <c r="R93" s="18">
        <v>113</v>
      </c>
      <c r="S93" s="18">
        <v>107</v>
      </c>
      <c r="T93" s="18">
        <v>110</v>
      </c>
      <c r="U93" s="5"/>
      <c r="V93" s="5"/>
      <c r="W93" s="5"/>
      <c r="X93" s="5"/>
      <c r="AA93" t="s">
        <v>56</v>
      </c>
      <c r="AB93" t="s">
        <v>189</v>
      </c>
      <c r="AC93" s="18">
        <v>1</v>
      </c>
      <c r="AD93" s="18">
        <v>0</v>
      </c>
      <c r="AE93" s="18">
        <v>0</v>
      </c>
      <c r="AF93" s="18">
        <v>1</v>
      </c>
      <c r="AG93" s="18">
        <v>0</v>
      </c>
      <c r="AH93" s="18">
        <v>1</v>
      </c>
      <c r="AI93" s="18">
        <v>0</v>
      </c>
      <c r="AJ93" s="18">
        <v>0</v>
      </c>
      <c r="AK93" s="18">
        <v>1</v>
      </c>
      <c r="AL93" s="18">
        <v>0</v>
      </c>
      <c r="AM93" s="18">
        <v>1</v>
      </c>
      <c r="AN93" s="18">
        <v>0</v>
      </c>
      <c r="AO93" s="18">
        <v>0</v>
      </c>
      <c r="AP93" s="18">
        <v>1</v>
      </c>
      <c r="AQ93" s="18">
        <v>0</v>
      </c>
      <c r="AR93" s="5"/>
      <c r="AS93" s="5"/>
      <c r="AT93" s="5"/>
      <c r="AU93" s="5"/>
      <c r="AV93" s="5"/>
      <c r="AW93" s="5"/>
      <c r="AX93" s="5"/>
      <c r="AY93" s="5"/>
      <c r="AZ93" s="5"/>
      <c r="BA93" s="5"/>
      <c r="BB93" s="5"/>
      <c r="BC93" s="5"/>
      <c r="BD93" s="5"/>
      <c r="BE93" s="5"/>
      <c r="BF93" s="5"/>
      <c r="BJ93" t="s">
        <v>56</v>
      </c>
      <c r="BK93" t="s">
        <v>188</v>
      </c>
      <c r="BL93" s="84">
        <v>31.9</v>
      </c>
      <c r="BM93" s="84">
        <v>31.5</v>
      </c>
      <c r="BN93" s="84">
        <v>40.799999999999997</v>
      </c>
      <c r="BO93" s="84">
        <v>1.7</v>
      </c>
      <c r="BP93" s="84">
        <v>4.5999999999999996</v>
      </c>
      <c r="BQ93" s="84">
        <v>1</v>
      </c>
      <c r="BR93" s="84">
        <v>0</v>
      </c>
      <c r="BS93" s="84">
        <v>0</v>
      </c>
      <c r="BT93" s="84">
        <v>0</v>
      </c>
      <c r="BU93" s="84">
        <v>3.9</v>
      </c>
      <c r="BV93" s="84">
        <v>4.2</v>
      </c>
      <c r="BW93" s="84">
        <v>5.2</v>
      </c>
      <c r="BX93" s="84">
        <v>0</v>
      </c>
      <c r="BY93" s="84">
        <v>0</v>
      </c>
      <c r="BZ93" s="84">
        <v>0</v>
      </c>
      <c r="CA93" s="5"/>
      <c r="CB93" s="5"/>
      <c r="CC93" s="5"/>
      <c r="CD93" s="5"/>
      <c r="CE93" s="5"/>
      <c r="CF93" s="5"/>
      <c r="CG93" s="5"/>
      <c r="CH93" s="5"/>
      <c r="CI93" s="5"/>
      <c r="CJ93" s="5"/>
      <c r="CK93" s="5"/>
      <c r="CL93" s="5"/>
      <c r="CM93" s="5"/>
      <c r="CN93" s="5"/>
      <c r="CO93" s="5"/>
    </row>
    <row r="94" spans="2:93" x14ac:dyDescent="0.3">
      <c r="B94" t="s">
        <v>111</v>
      </c>
      <c r="C94" s="3" t="s">
        <v>204</v>
      </c>
      <c r="D94" s="132" t="str">
        <f>VLOOKUP(C94,Mapping!$AB$2:$AC$8,2,FALSE)</f>
        <v>Age 0 - 1</v>
      </c>
      <c r="E94" s="132" t="str">
        <f t="shared" si="7"/>
        <v>Alpine (S)Age 0 - 1</v>
      </c>
      <c r="F94" s="132" t="str">
        <f>INDEX(Mapping!$Y:$Y,MATCH($B94,Mapping!$W:$W,0))</f>
        <v>Rural</v>
      </c>
      <c r="G94" s="45">
        <v>100</v>
      </c>
      <c r="H94" s="45">
        <v>106</v>
      </c>
      <c r="I94" s="45">
        <v>101</v>
      </c>
      <c r="J94" s="5"/>
      <c r="K94" s="5"/>
      <c r="L94" s="5"/>
      <c r="M94" s="5"/>
      <c r="BJ94" t="s">
        <v>23</v>
      </c>
      <c r="BK94" t="s">
        <v>146</v>
      </c>
      <c r="BL94" s="84">
        <v>8.4</v>
      </c>
      <c r="BM94" s="84">
        <v>8.6</v>
      </c>
      <c r="BN94" s="84">
        <v>7.4</v>
      </c>
      <c r="BO94" s="84">
        <v>1</v>
      </c>
      <c r="BP94" s="84">
        <v>0.8</v>
      </c>
      <c r="BQ94" s="84">
        <v>1</v>
      </c>
      <c r="BR94" s="84">
        <v>0</v>
      </c>
      <c r="BS94" s="84">
        <v>0</v>
      </c>
      <c r="BT94" s="84">
        <v>0</v>
      </c>
      <c r="BU94" s="84">
        <v>0.8</v>
      </c>
      <c r="BV94" s="84">
        <v>0.8</v>
      </c>
      <c r="BW94" s="84">
        <v>0.8</v>
      </c>
      <c r="BX94" s="84">
        <v>0</v>
      </c>
      <c r="BY94" s="84">
        <v>0</v>
      </c>
      <c r="BZ94" s="84">
        <v>0</v>
      </c>
      <c r="CA94" s="5"/>
      <c r="CB94" s="5"/>
      <c r="CC94" s="5"/>
      <c r="CD94" s="5"/>
      <c r="CE94" s="5"/>
      <c r="CF94" s="5"/>
      <c r="CG94" s="5"/>
      <c r="CH94" s="5"/>
      <c r="CI94" s="5"/>
      <c r="CJ94" s="5"/>
      <c r="CK94" s="5"/>
      <c r="CL94" s="5"/>
      <c r="CM94" s="5"/>
      <c r="CN94" s="5"/>
      <c r="CO94" s="5"/>
    </row>
    <row r="95" spans="2:93" x14ac:dyDescent="0.3">
      <c r="B95" t="s">
        <v>163</v>
      </c>
      <c r="C95" s="3" t="s">
        <v>204</v>
      </c>
      <c r="D95" s="132" t="str">
        <f>VLOOKUP(C95,Mapping!$AB$2:$AC$8,2,FALSE)</f>
        <v>Age 0 - 1</v>
      </c>
      <c r="E95" s="132" t="str">
        <f t="shared" si="7"/>
        <v>Ararat (RC)Age 0 - 1</v>
      </c>
      <c r="F95" s="132" t="str">
        <f>INDEX(Mapping!$Y:$Y,MATCH($B95,Mapping!$W:$W,0))</f>
        <v>Rural</v>
      </c>
      <c r="G95" s="45">
        <v>114</v>
      </c>
      <c r="H95" s="45">
        <v>106</v>
      </c>
      <c r="I95" s="45">
        <v>107</v>
      </c>
      <c r="J95" s="5"/>
      <c r="K95" s="5"/>
      <c r="L95" s="5"/>
      <c r="M95" s="5"/>
      <c r="AC95" s="86">
        <f t="shared" ref="AC95:AQ95" si="8">SUM(AC15:AC93)</f>
        <v>221</v>
      </c>
      <c r="AD95" s="86">
        <f t="shared" si="8"/>
        <v>175</v>
      </c>
      <c r="AE95" s="86">
        <f t="shared" si="8"/>
        <v>271</v>
      </c>
      <c r="AF95" s="86">
        <f t="shared" si="8"/>
        <v>231</v>
      </c>
      <c r="AG95" s="86">
        <f t="shared" si="8"/>
        <v>227</v>
      </c>
      <c r="AH95" s="86">
        <f t="shared" si="8"/>
        <v>241</v>
      </c>
      <c r="AI95" s="86">
        <f t="shared" si="8"/>
        <v>170</v>
      </c>
      <c r="AJ95" s="86">
        <f t="shared" si="8"/>
        <v>258</v>
      </c>
      <c r="AK95" s="86">
        <f t="shared" si="8"/>
        <v>239</v>
      </c>
      <c r="AL95" s="86">
        <f t="shared" si="8"/>
        <v>247</v>
      </c>
      <c r="AM95" s="86">
        <f t="shared" si="8"/>
        <v>225</v>
      </c>
      <c r="AN95" s="86">
        <f t="shared" si="8"/>
        <v>145</v>
      </c>
      <c r="AO95" s="86">
        <f t="shared" si="8"/>
        <v>214</v>
      </c>
      <c r="AP95" s="86">
        <f t="shared" si="8"/>
        <v>217</v>
      </c>
      <c r="AQ95" s="86">
        <f t="shared" si="8"/>
        <v>229</v>
      </c>
      <c r="AR95" s="86">
        <f t="shared" ref="AR95:BF95" si="9">SUM(AR15:AR93)</f>
        <v>0</v>
      </c>
      <c r="AS95" s="86">
        <f t="shared" si="9"/>
        <v>0</v>
      </c>
      <c r="AT95" s="86">
        <f t="shared" si="9"/>
        <v>0</v>
      </c>
      <c r="AU95" s="86">
        <f t="shared" si="9"/>
        <v>0</v>
      </c>
      <c r="AV95" s="86">
        <f t="shared" si="9"/>
        <v>0</v>
      </c>
      <c r="AW95" s="86">
        <f t="shared" si="9"/>
        <v>0</v>
      </c>
      <c r="AX95" s="86">
        <f t="shared" si="9"/>
        <v>0</v>
      </c>
      <c r="AY95" s="86">
        <f t="shared" si="9"/>
        <v>0</v>
      </c>
      <c r="AZ95" s="86">
        <f t="shared" si="9"/>
        <v>0</v>
      </c>
      <c r="BA95" s="86">
        <f t="shared" si="9"/>
        <v>0</v>
      </c>
      <c r="BB95" s="86">
        <f t="shared" si="9"/>
        <v>0</v>
      </c>
      <c r="BC95" s="86">
        <f t="shared" si="9"/>
        <v>0</v>
      </c>
      <c r="BD95" s="86">
        <f t="shared" si="9"/>
        <v>0</v>
      </c>
      <c r="BE95" s="86">
        <f t="shared" si="9"/>
        <v>0</v>
      </c>
      <c r="BF95" s="86">
        <f t="shared" si="9"/>
        <v>0</v>
      </c>
      <c r="BJ95" t="s">
        <v>3</v>
      </c>
      <c r="BK95" t="s">
        <v>129</v>
      </c>
      <c r="BL95" s="84">
        <v>13.3</v>
      </c>
      <c r="BM95" s="84">
        <v>13.7</v>
      </c>
      <c r="BN95" s="84">
        <v>13.7</v>
      </c>
      <c r="BO95" s="84">
        <v>1</v>
      </c>
      <c r="BP95" s="84">
        <v>1</v>
      </c>
      <c r="BQ95" s="84">
        <v>1</v>
      </c>
      <c r="BR95" s="84">
        <v>0</v>
      </c>
      <c r="BS95" s="84">
        <v>0</v>
      </c>
      <c r="BT95" s="84">
        <v>0</v>
      </c>
      <c r="BU95" s="84">
        <v>2.4</v>
      </c>
      <c r="BV95" s="84">
        <v>2.4</v>
      </c>
      <c r="BW95" s="84">
        <v>2.4</v>
      </c>
      <c r="BX95" s="84">
        <v>1.4</v>
      </c>
      <c r="BY95" s="84">
        <v>1.6</v>
      </c>
      <c r="BZ95" s="84">
        <v>1.8</v>
      </c>
      <c r="CA95" s="5"/>
      <c r="CB95" s="5"/>
      <c r="CC95" s="5"/>
      <c r="CD95" s="5"/>
      <c r="CE95" s="5"/>
      <c r="CF95" s="5"/>
      <c r="CG95" s="5"/>
      <c r="CH95" s="5"/>
      <c r="CI95" s="5"/>
      <c r="CJ95" s="5"/>
      <c r="CK95" s="5"/>
      <c r="CL95" s="5"/>
      <c r="CM95" s="5"/>
      <c r="CN95" s="5"/>
      <c r="CO95" s="5"/>
    </row>
    <row r="96" spans="2:93" x14ac:dyDescent="0.3">
      <c r="B96" t="s">
        <v>164</v>
      </c>
      <c r="C96" s="3" t="s">
        <v>204</v>
      </c>
      <c r="D96" s="132" t="str">
        <f>VLOOKUP(C96,Mapping!$AB$2:$AC$8,2,FALSE)</f>
        <v>Age 0 - 1</v>
      </c>
      <c r="E96" s="132" t="str">
        <f t="shared" si="7"/>
        <v>Ballarat (C)Age 0 - 1</v>
      </c>
      <c r="F96" s="132" t="str">
        <f>INDEX(Mapping!$Y:$Y,MATCH($B96,Mapping!$W:$W,0))</f>
        <v>Rural</v>
      </c>
      <c r="G96" s="45">
        <v>1353</v>
      </c>
      <c r="H96" s="45">
        <v>1296</v>
      </c>
      <c r="I96" s="45">
        <v>1204</v>
      </c>
      <c r="J96" s="5"/>
      <c r="K96" s="5"/>
      <c r="L96" s="5"/>
      <c r="M96" s="5"/>
      <c r="BJ96" t="s">
        <v>56</v>
      </c>
      <c r="BK96" t="s">
        <v>189</v>
      </c>
      <c r="BL96" s="84">
        <v>0.8</v>
      </c>
      <c r="BM96" s="84">
        <v>0.7</v>
      </c>
      <c r="BN96" s="84">
        <v>0.8</v>
      </c>
      <c r="BO96" s="84">
        <v>0.1</v>
      </c>
      <c r="BP96" s="84">
        <v>0.1</v>
      </c>
      <c r="BQ96" s="84">
        <v>0.1</v>
      </c>
      <c r="BR96" s="84">
        <v>0</v>
      </c>
      <c r="BS96" s="84">
        <v>0</v>
      </c>
      <c r="BT96" s="84">
        <v>0</v>
      </c>
      <c r="BU96" s="84">
        <v>0.5</v>
      </c>
      <c r="BV96" s="84">
        <v>0.5</v>
      </c>
      <c r="BW96" s="84">
        <v>0.5</v>
      </c>
      <c r="BX96" s="84">
        <v>0</v>
      </c>
      <c r="BY96" s="84">
        <v>0</v>
      </c>
      <c r="BZ96" s="84">
        <v>0</v>
      </c>
      <c r="CA96" s="5"/>
      <c r="CB96" s="5"/>
      <c r="CC96" s="5"/>
      <c r="CD96" s="5"/>
      <c r="CE96" s="5"/>
      <c r="CF96" s="5"/>
      <c r="CG96" s="5"/>
      <c r="CH96" s="5"/>
      <c r="CI96" s="5"/>
      <c r="CJ96" s="5"/>
      <c r="CK96" s="5"/>
      <c r="CL96" s="5"/>
      <c r="CM96" s="5"/>
      <c r="CN96" s="5"/>
      <c r="CO96" s="5"/>
    </row>
    <row r="97" spans="2:93" x14ac:dyDescent="0.3">
      <c r="B97" t="s">
        <v>130</v>
      </c>
      <c r="C97" s="3" t="s">
        <v>204</v>
      </c>
      <c r="D97" s="132" t="str">
        <f>VLOOKUP(C97,Mapping!$AB$2:$AC$8,2,FALSE)</f>
        <v>Age 0 - 1</v>
      </c>
      <c r="E97" s="132" t="str">
        <f t="shared" si="7"/>
        <v>Banyule (C)Age 0 - 1</v>
      </c>
      <c r="F97" s="132" t="str">
        <f>INDEX(Mapping!$Y:$Y,MATCH($B97,Mapping!$W:$W,0))</f>
        <v>Metro</v>
      </c>
      <c r="G97" s="45">
        <v>1806</v>
      </c>
      <c r="H97" s="45">
        <v>1530</v>
      </c>
      <c r="I97" s="45">
        <v>1559</v>
      </c>
      <c r="J97" s="5"/>
      <c r="K97" s="5"/>
      <c r="L97" s="5"/>
      <c r="M97" s="5"/>
    </row>
    <row r="98" spans="2:93" x14ac:dyDescent="0.3">
      <c r="B98" t="s">
        <v>147</v>
      </c>
      <c r="C98" s="3" t="s">
        <v>204</v>
      </c>
      <c r="D98" s="132" t="str">
        <f>VLOOKUP(C98,Mapping!$AB$2:$AC$8,2,FALSE)</f>
        <v>Age 0 - 1</v>
      </c>
      <c r="E98" s="132" t="str">
        <f t="shared" si="7"/>
        <v>Bass Coast (S)Age 0 - 1</v>
      </c>
      <c r="F98" s="132" t="str">
        <f>INDEX(Mapping!$Y:$Y,MATCH($B98,Mapping!$W:$W,0))</f>
        <v>Rural</v>
      </c>
      <c r="G98" s="45">
        <v>358</v>
      </c>
      <c r="H98" s="45">
        <v>345</v>
      </c>
      <c r="I98" s="45">
        <v>324</v>
      </c>
      <c r="J98" s="5"/>
      <c r="K98" s="5"/>
      <c r="L98" s="5"/>
      <c r="M98" s="5"/>
    </row>
    <row r="99" spans="2:93" x14ac:dyDescent="0.3">
      <c r="B99" t="s">
        <v>148</v>
      </c>
      <c r="C99" s="3" t="s">
        <v>204</v>
      </c>
      <c r="D99" s="132" t="str">
        <f>VLOOKUP(C99,Mapping!$AB$2:$AC$8,2,FALSE)</f>
        <v>Age 0 - 1</v>
      </c>
      <c r="E99" s="132" t="str">
        <f t="shared" si="7"/>
        <v>Baw Baw (S)Age 0 - 1</v>
      </c>
      <c r="F99" s="132" t="str">
        <f>INDEX(Mapping!$Y:$Y,MATCH($B99,Mapping!$W:$W,0))</f>
        <v>Rural</v>
      </c>
      <c r="G99" s="45">
        <v>636</v>
      </c>
      <c r="H99" s="45">
        <v>605</v>
      </c>
      <c r="I99" s="45">
        <v>604</v>
      </c>
      <c r="J99" s="5"/>
      <c r="K99" s="5"/>
      <c r="L99" s="5"/>
      <c r="M99" s="5"/>
      <c r="BK99" t="s">
        <v>109</v>
      </c>
      <c r="BL99" s="87">
        <f t="shared" ref="BL99:BZ99" si="10">SUM(BL$17:BL$96)</f>
        <v>587.94999999999993</v>
      </c>
      <c r="BM99" s="87">
        <f t="shared" si="10"/>
        <v>604.40000000000009</v>
      </c>
      <c r="BN99" s="87">
        <f t="shared" si="10"/>
        <v>628.00999999999988</v>
      </c>
      <c r="BO99" s="87">
        <f t="shared" si="10"/>
        <v>64.22</v>
      </c>
      <c r="BP99" s="87">
        <f t="shared" si="10"/>
        <v>68.719999999999985</v>
      </c>
      <c r="BQ99" s="87">
        <f t="shared" si="10"/>
        <v>55.110000000000014</v>
      </c>
      <c r="BR99" s="87">
        <f t="shared" si="10"/>
        <v>7.6499999999999995</v>
      </c>
      <c r="BS99" s="87">
        <f t="shared" si="10"/>
        <v>7.1</v>
      </c>
      <c r="BT99" s="87">
        <f t="shared" si="10"/>
        <v>6.84</v>
      </c>
      <c r="BU99" s="87">
        <f t="shared" si="10"/>
        <v>62.319999999999993</v>
      </c>
      <c r="BV99" s="87">
        <f t="shared" si="10"/>
        <v>69.539999999999992</v>
      </c>
      <c r="BW99" s="87">
        <f t="shared" si="10"/>
        <v>84.33</v>
      </c>
      <c r="BX99" s="87">
        <f t="shared" si="10"/>
        <v>37.29</v>
      </c>
      <c r="BY99" s="87">
        <f t="shared" si="10"/>
        <v>37.599999999999994</v>
      </c>
      <c r="BZ99" s="87">
        <f t="shared" si="10"/>
        <v>25.600000000000005</v>
      </c>
      <c r="CA99" s="87">
        <f t="shared" ref="CA99:CO99" si="11">SUM(CA$17:CA$96)</f>
        <v>0</v>
      </c>
      <c r="CB99" s="87">
        <f t="shared" si="11"/>
        <v>0</v>
      </c>
      <c r="CC99" s="87">
        <f t="shared" si="11"/>
        <v>0</v>
      </c>
      <c r="CD99" s="87">
        <f t="shared" si="11"/>
        <v>0</v>
      </c>
      <c r="CE99" s="87">
        <f t="shared" si="11"/>
        <v>0</v>
      </c>
      <c r="CF99" s="87">
        <f t="shared" si="11"/>
        <v>0</v>
      </c>
      <c r="CG99" s="87">
        <f t="shared" si="11"/>
        <v>0</v>
      </c>
      <c r="CH99" s="87">
        <f t="shared" si="11"/>
        <v>0</v>
      </c>
      <c r="CI99" s="87">
        <f t="shared" si="11"/>
        <v>0</v>
      </c>
      <c r="CJ99" s="87">
        <f t="shared" si="11"/>
        <v>0</v>
      </c>
      <c r="CK99" s="87">
        <f t="shared" si="11"/>
        <v>0</v>
      </c>
      <c r="CL99" s="87">
        <f t="shared" si="11"/>
        <v>0</v>
      </c>
      <c r="CM99" s="87">
        <f t="shared" si="11"/>
        <v>0</v>
      </c>
      <c r="CN99" s="87">
        <f t="shared" si="11"/>
        <v>0</v>
      </c>
      <c r="CO99" s="87">
        <f t="shared" si="11"/>
        <v>0</v>
      </c>
    </row>
    <row r="100" spans="2:93" x14ac:dyDescent="0.3">
      <c r="B100" t="s">
        <v>149</v>
      </c>
      <c r="C100" s="3" t="s">
        <v>204</v>
      </c>
      <c r="D100" s="132" t="str">
        <f>VLOOKUP(C100,Mapping!$AB$2:$AC$8,2,FALSE)</f>
        <v>Age 0 - 1</v>
      </c>
      <c r="E100" s="132" t="str">
        <f t="shared" si="7"/>
        <v>Bayside (C)Age 0 - 1</v>
      </c>
      <c r="F100" s="132" t="str">
        <f>INDEX(Mapping!$Y:$Y,MATCH($B100,Mapping!$W:$W,0))</f>
        <v>Metro</v>
      </c>
      <c r="G100" s="45">
        <v>942</v>
      </c>
      <c r="H100" s="45">
        <v>905</v>
      </c>
      <c r="I100" s="45">
        <v>930</v>
      </c>
      <c r="J100" s="5"/>
      <c r="K100" s="5"/>
      <c r="L100" s="5"/>
      <c r="M100" s="5"/>
      <c r="BK100" s="7"/>
    </row>
    <row r="101" spans="2:93" x14ac:dyDescent="0.3">
      <c r="B101" t="s">
        <v>112</v>
      </c>
      <c r="C101" s="3" t="s">
        <v>204</v>
      </c>
      <c r="D101" s="132" t="str">
        <f>VLOOKUP(C101,Mapping!$AB$2:$AC$8,2,FALSE)</f>
        <v>Age 0 - 1</v>
      </c>
      <c r="E101" s="132" t="str">
        <f t="shared" si="7"/>
        <v>Benalla (RC)Age 0 - 1</v>
      </c>
      <c r="F101" s="132" t="str">
        <f>INDEX(Mapping!$Y:$Y,MATCH($B101,Mapping!$W:$W,0))</f>
        <v>Rural</v>
      </c>
      <c r="G101" s="45">
        <v>125</v>
      </c>
      <c r="H101" s="45">
        <v>122</v>
      </c>
      <c r="I101" s="45">
        <v>156</v>
      </c>
      <c r="J101" s="5"/>
      <c r="K101" s="5"/>
      <c r="L101" s="5"/>
      <c r="M101" s="5"/>
    </row>
    <row r="102" spans="2:93" x14ac:dyDescent="0.3">
      <c r="B102" t="s">
        <v>113</v>
      </c>
      <c r="C102" s="3" t="s">
        <v>204</v>
      </c>
      <c r="D102" s="132" t="str">
        <f>VLOOKUP(C102,Mapping!$AB$2:$AC$8,2,FALSE)</f>
        <v>Age 0 - 1</v>
      </c>
      <c r="E102" s="132" t="str">
        <f t="shared" si="7"/>
        <v>Boroondara (C)Age 0 - 1</v>
      </c>
      <c r="F102" s="132" t="str">
        <f>INDEX(Mapping!$Y:$Y,MATCH($B102,Mapping!$W:$W,0))</f>
        <v>Metro</v>
      </c>
      <c r="G102" s="45">
        <v>1601</v>
      </c>
      <c r="H102" s="45">
        <v>1464</v>
      </c>
      <c r="I102" s="45">
        <v>1371</v>
      </c>
      <c r="J102" s="5"/>
      <c r="K102" s="5"/>
      <c r="L102" s="5"/>
      <c r="M102" s="5"/>
    </row>
    <row r="103" spans="2:93" x14ac:dyDescent="0.3">
      <c r="B103" t="s">
        <v>165</v>
      </c>
      <c r="C103" s="3" t="s">
        <v>204</v>
      </c>
      <c r="D103" s="132" t="str">
        <f>VLOOKUP(C103,Mapping!$AB$2:$AC$8,2,FALSE)</f>
        <v>Age 0 - 1</v>
      </c>
      <c r="E103" s="132" t="str">
        <f t="shared" si="7"/>
        <v>Brimbank (C)Age 0 - 1</v>
      </c>
      <c r="F103" s="132" t="str">
        <f>INDEX(Mapping!$Y:$Y,MATCH($B103,Mapping!$W:$W,0))</f>
        <v>Metro</v>
      </c>
      <c r="G103" s="45">
        <v>2951</v>
      </c>
      <c r="H103" s="45">
        <v>2779</v>
      </c>
      <c r="I103" s="45">
        <v>2755</v>
      </c>
      <c r="J103" s="5"/>
      <c r="K103" s="5"/>
      <c r="L103" s="5"/>
      <c r="M103" s="5"/>
    </row>
    <row r="104" spans="2:93" x14ac:dyDescent="0.3">
      <c r="B104" t="s">
        <v>131</v>
      </c>
      <c r="C104" s="3" t="s">
        <v>204</v>
      </c>
      <c r="D104" s="132" t="str">
        <f>VLOOKUP(C104,Mapping!$AB$2:$AC$8,2,FALSE)</f>
        <v>Age 0 - 1</v>
      </c>
      <c r="E104" s="132" t="str">
        <f t="shared" si="7"/>
        <v>Buloke (S)Age 0 - 1</v>
      </c>
      <c r="F104" s="132" t="str">
        <f>INDEX(Mapping!$Y:$Y,MATCH($B104,Mapping!$W:$W,0))</f>
        <v>Rural</v>
      </c>
      <c r="G104" s="45">
        <v>58</v>
      </c>
      <c r="H104" s="45">
        <v>55</v>
      </c>
      <c r="I104" s="45">
        <v>61</v>
      </c>
      <c r="J104" s="5"/>
      <c r="K104" s="5"/>
      <c r="L104" s="5"/>
      <c r="M104" s="5"/>
    </row>
    <row r="105" spans="2:93" x14ac:dyDescent="0.3">
      <c r="B105" t="s">
        <v>132</v>
      </c>
      <c r="C105" s="3" t="s">
        <v>204</v>
      </c>
      <c r="D105" s="132" t="str">
        <f>VLOOKUP(C105,Mapping!$AB$2:$AC$8,2,FALSE)</f>
        <v>Age 0 - 1</v>
      </c>
      <c r="E105" s="132" t="str">
        <f t="shared" si="7"/>
        <v>Campaspe (S)Age 0 - 1</v>
      </c>
      <c r="F105" s="132" t="str">
        <f>INDEX(Mapping!$Y:$Y,MATCH($B105,Mapping!$W:$W,0))</f>
        <v>Rural</v>
      </c>
      <c r="G105" s="45">
        <v>434</v>
      </c>
      <c r="H105" s="45">
        <v>351</v>
      </c>
      <c r="I105" s="45">
        <v>404</v>
      </c>
      <c r="J105" s="5"/>
      <c r="K105" s="5"/>
      <c r="L105" s="5"/>
      <c r="M105" s="5"/>
    </row>
    <row r="106" spans="2:93" x14ac:dyDescent="0.3">
      <c r="B106" t="s">
        <v>150</v>
      </c>
      <c r="C106" s="3" t="s">
        <v>204</v>
      </c>
      <c r="D106" s="132" t="str">
        <f>VLOOKUP(C106,Mapping!$AB$2:$AC$8,2,FALSE)</f>
        <v>Age 0 - 1</v>
      </c>
      <c r="E106" s="132" t="str">
        <f t="shared" si="7"/>
        <v>Cardinia (S)Age 0 - 1</v>
      </c>
      <c r="F106" s="132" t="str">
        <f>INDEX(Mapping!$Y:$Y,MATCH($B106,Mapping!$W:$W,0))</f>
        <v>Interface</v>
      </c>
      <c r="G106" s="45">
        <v>1684</v>
      </c>
      <c r="H106" s="45">
        <v>1629</v>
      </c>
      <c r="I106" s="45">
        <v>1609</v>
      </c>
      <c r="J106" s="5"/>
      <c r="K106" s="5"/>
      <c r="L106" s="5"/>
      <c r="M106" s="5"/>
    </row>
    <row r="107" spans="2:93" x14ac:dyDescent="0.3">
      <c r="B107" t="s">
        <v>151</v>
      </c>
      <c r="C107" s="3" t="s">
        <v>204</v>
      </c>
      <c r="D107" s="132" t="str">
        <f>VLOOKUP(C107,Mapping!$AB$2:$AC$8,2,FALSE)</f>
        <v>Age 0 - 1</v>
      </c>
      <c r="E107" s="132" t="str">
        <f t="shared" si="7"/>
        <v>Casey (C)Age 0 - 1</v>
      </c>
      <c r="F107" s="132" t="str">
        <f>INDEX(Mapping!$Y:$Y,MATCH($B107,Mapping!$W:$W,0))</f>
        <v>Interface</v>
      </c>
      <c r="G107" s="45">
        <v>4844</v>
      </c>
      <c r="H107" s="45">
        <v>4993</v>
      </c>
      <c r="I107" s="45">
        <v>5055</v>
      </c>
      <c r="J107" s="5"/>
      <c r="K107" s="5"/>
      <c r="L107" s="5"/>
      <c r="M107" s="5"/>
    </row>
    <row r="108" spans="2:93" x14ac:dyDescent="0.3">
      <c r="B108" t="s">
        <v>133</v>
      </c>
      <c r="C108" s="3" t="s">
        <v>204</v>
      </c>
      <c r="D108" s="132" t="str">
        <f>VLOOKUP(C108,Mapping!$AB$2:$AC$8,2,FALSE)</f>
        <v>Age 0 - 1</v>
      </c>
      <c r="E108" s="132" t="str">
        <f t="shared" si="7"/>
        <v>Central Goldfields (S)Age 0 - 1</v>
      </c>
      <c r="F108" s="132" t="str">
        <f>INDEX(Mapping!$Y:$Y,MATCH($B108,Mapping!$W:$W,0))</f>
        <v>Rural</v>
      </c>
      <c r="G108" s="45">
        <v>120</v>
      </c>
      <c r="H108" s="45">
        <v>124</v>
      </c>
      <c r="I108" s="45">
        <v>118</v>
      </c>
      <c r="J108" s="5"/>
      <c r="K108" s="5"/>
      <c r="L108" s="5"/>
      <c r="M108" s="5"/>
    </row>
    <row r="109" spans="2:93" x14ac:dyDescent="0.3">
      <c r="B109" t="s">
        <v>166</v>
      </c>
      <c r="C109" s="3" t="s">
        <v>204</v>
      </c>
      <c r="D109" s="132" t="str">
        <f>VLOOKUP(C109,Mapping!$AB$2:$AC$8,2,FALSE)</f>
        <v>Age 0 - 1</v>
      </c>
      <c r="E109" s="132" t="str">
        <f t="shared" si="7"/>
        <v>Colac-Otway (S)Age 0 - 1</v>
      </c>
      <c r="F109" s="132" t="str">
        <f>INDEX(Mapping!$Y:$Y,MATCH($B109,Mapping!$W:$W,0))</f>
        <v>Rural</v>
      </c>
      <c r="G109" s="45">
        <v>248</v>
      </c>
      <c r="H109" s="45">
        <v>238</v>
      </c>
      <c r="I109" s="45">
        <v>217</v>
      </c>
      <c r="J109" s="5"/>
      <c r="K109" s="5"/>
      <c r="L109" s="5"/>
      <c r="M109" s="5"/>
    </row>
    <row r="110" spans="2:93" x14ac:dyDescent="0.3">
      <c r="B110" t="s">
        <v>167</v>
      </c>
      <c r="C110" s="3" t="s">
        <v>204</v>
      </c>
      <c r="D110" s="132" t="str">
        <f>VLOOKUP(C110,Mapping!$AB$2:$AC$8,2,FALSE)</f>
        <v>Age 0 - 1</v>
      </c>
      <c r="E110" s="132" t="str">
        <f t="shared" si="7"/>
        <v>Corangamite (S)Age 0 - 1</v>
      </c>
      <c r="F110" s="132" t="str">
        <f>INDEX(Mapping!$Y:$Y,MATCH($B110,Mapping!$W:$W,0))</f>
        <v>Rural</v>
      </c>
      <c r="G110" s="45">
        <v>152</v>
      </c>
      <c r="H110" s="45">
        <v>158</v>
      </c>
      <c r="I110" s="45">
        <v>142</v>
      </c>
      <c r="J110" s="5"/>
      <c r="K110" s="5"/>
      <c r="L110" s="5"/>
      <c r="M110" s="5"/>
    </row>
    <row r="111" spans="2:93" x14ac:dyDescent="0.3">
      <c r="B111" t="s">
        <v>134</v>
      </c>
      <c r="C111" s="3" t="s">
        <v>204</v>
      </c>
      <c r="D111" s="132" t="str">
        <f>VLOOKUP(C111,Mapping!$AB$2:$AC$8,2,FALSE)</f>
        <v>Age 0 - 1</v>
      </c>
      <c r="E111" s="132" t="str">
        <f t="shared" si="7"/>
        <v>Darebin (C)Age 0 - 1</v>
      </c>
      <c r="F111" s="132" t="str">
        <f>INDEX(Mapping!$Y:$Y,MATCH($B111,Mapping!$W:$W,0))</f>
        <v>Metro</v>
      </c>
      <c r="G111" s="45">
        <v>2007</v>
      </c>
      <c r="H111" s="45">
        <v>1885</v>
      </c>
      <c r="I111" s="45">
        <v>1781</v>
      </c>
      <c r="J111" s="5"/>
      <c r="K111" s="5"/>
      <c r="L111" s="5"/>
      <c r="M111" s="5"/>
    </row>
    <row r="112" spans="2:93" x14ac:dyDescent="0.3">
      <c r="B112" t="s">
        <v>152</v>
      </c>
      <c r="C112" s="3" t="s">
        <v>204</v>
      </c>
      <c r="D112" s="132" t="str">
        <f>VLOOKUP(C112,Mapping!$AB$2:$AC$8,2,FALSE)</f>
        <v>Age 0 - 1</v>
      </c>
      <c r="E112" s="132" t="str">
        <f t="shared" si="7"/>
        <v>East Gippsland (S)Age 0 - 1</v>
      </c>
      <c r="F112" s="132" t="str">
        <f>INDEX(Mapping!$Y:$Y,MATCH($B112,Mapping!$W:$W,0))</f>
        <v>Rural</v>
      </c>
      <c r="G112" s="45">
        <v>494</v>
      </c>
      <c r="H112" s="45">
        <v>413</v>
      </c>
      <c r="I112" s="45">
        <v>448</v>
      </c>
      <c r="J112" s="5"/>
      <c r="K112" s="5"/>
      <c r="L112" s="5"/>
      <c r="M112" s="5"/>
    </row>
    <row r="113" spans="2:13" x14ac:dyDescent="0.3">
      <c r="B113" t="s">
        <v>153</v>
      </c>
      <c r="C113" s="3" t="s">
        <v>204</v>
      </c>
      <c r="D113" s="132" t="str">
        <f>VLOOKUP(C113,Mapping!$AB$2:$AC$8,2,FALSE)</f>
        <v>Age 0 - 1</v>
      </c>
      <c r="E113" s="132" t="str">
        <f t="shared" si="7"/>
        <v>Frankston (C)Age 0 - 1</v>
      </c>
      <c r="F113" s="132" t="str">
        <f>INDEX(Mapping!$Y:$Y,MATCH($B113,Mapping!$W:$W,0))</f>
        <v>Metro</v>
      </c>
      <c r="G113" s="45">
        <v>2079</v>
      </c>
      <c r="H113" s="45">
        <v>1941</v>
      </c>
      <c r="I113" s="45">
        <v>1865</v>
      </c>
      <c r="J113" s="5"/>
      <c r="K113" s="5"/>
      <c r="L113" s="5"/>
      <c r="M113" s="5"/>
    </row>
    <row r="114" spans="2:13" x14ac:dyDescent="0.3">
      <c r="B114" t="s">
        <v>135</v>
      </c>
      <c r="C114" s="3" t="s">
        <v>204</v>
      </c>
      <c r="D114" s="132" t="str">
        <f>VLOOKUP(C114,Mapping!$AB$2:$AC$8,2,FALSE)</f>
        <v>Age 0 - 1</v>
      </c>
      <c r="E114" s="132" t="str">
        <f t="shared" si="7"/>
        <v>Gannawarra (S)Age 0 - 1</v>
      </c>
      <c r="F114" s="132" t="str">
        <f>INDEX(Mapping!$Y:$Y,MATCH($B114,Mapping!$W:$W,0))</f>
        <v>Rural</v>
      </c>
      <c r="G114" s="45">
        <v>110</v>
      </c>
      <c r="H114" s="45">
        <v>90</v>
      </c>
      <c r="I114" s="45">
        <v>110</v>
      </c>
      <c r="J114" s="5"/>
      <c r="K114" s="5"/>
      <c r="L114" s="5"/>
      <c r="M114" s="5"/>
    </row>
    <row r="115" spans="2:13" x14ac:dyDescent="0.3">
      <c r="B115" t="s">
        <v>154</v>
      </c>
      <c r="C115" s="3" t="s">
        <v>204</v>
      </c>
      <c r="D115" s="132" t="str">
        <f>VLOOKUP(C115,Mapping!$AB$2:$AC$8,2,FALSE)</f>
        <v>Age 0 - 1</v>
      </c>
      <c r="E115" s="132" t="str">
        <f t="shared" si="7"/>
        <v>Glen Eira (C)Age 0 - 1</v>
      </c>
      <c r="F115" s="132" t="str">
        <f>INDEX(Mapping!$Y:$Y,MATCH($B115,Mapping!$W:$W,0))</f>
        <v>Metro</v>
      </c>
      <c r="G115" s="45">
        <v>1783</v>
      </c>
      <c r="H115" s="45">
        <v>1780</v>
      </c>
      <c r="I115" s="45">
        <v>1559</v>
      </c>
      <c r="J115" s="5"/>
      <c r="K115" s="5"/>
      <c r="L115" s="5"/>
      <c r="M115" s="5"/>
    </row>
    <row r="116" spans="2:13" x14ac:dyDescent="0.3">
      <c r="B116" t="s">
        <v>168</v>
      </c>
      <c r="C116" s="3" t="s">
        <v>204</v>
      </c>
      <c r="D116" s="132" t="str">
        <f>VLOOKUP(C116,Mapping!$AB$2:$AC$8,2,FALSE)</f>
        <v>Age 0 - 1</v>
      </c>
      <c r="E116" s="132" t="str">
        <f t="shared" si="7"/>
        <v>Glenelg (S)Age 0 - 1</v>
      </c>
      <c r="F116" s="132" t="str">
        <f>INDEX(Mapping!$Y:$Y,MATCH($B116,Mapping!$W:$W,0))</f>
        <v>Rural</v>
      </c>
      <c r="G116" s="45">
        <v>216</v>
      </c>
      <c r="H116" s="45">
        <v>150</v>
      </c>
      <c r="I116" s="45">
        <v>164</v>
      </c>
      <c r="J116" s="5"/>
      <c r="K116" s="5"/>
      <c r="L116" s="5"/>
      <c r="M116" s="5"/>
    </row>
    <row r="117" spans="2:13" x14ac:dyDescent="0.3">
      <c r="B117" t="s">
        <v>169</v>
      </c>
      <c r="C117" s="3" t="s">
        <v>204</v>
      </c>
      <c r="D117" s="132" t="str">
        <f>VLOOKUP(C117,Mapping!$AB$2:$AC$8,2,FALSE)</f>
        <v>Age 0 - 1</v>
      </c>
      <c r="E117" s="132" t="str">
        <f t="shared" si="7"/>
        <v>Golden Plains (S)Age 0 - 1</v>
      </c>
      <c r="F117" s="132" t="str">
        <f>INDEX(Mapping!$Y:$Y,MATCH($B117,Mapping!$W:$W,0))</f>
        <v>Rural</v>
      </c>
      <c r="G117" s="45">
        <v>258</v>
      </c>
      <c r="H117" s="45">
        <v>212</v>
      </c>
      <c r="I117" s="45">
        <v>277</v>
      </c>
      <c r="J117" s="5"/>
      <c r="K117" s="5"/>
      <c r="L117" s="5"/>
      <c r="M117" s="5"/>
    </row>
    <row r="118" spans="2:13" x14ac:dyDescent="0.3">
      <c r="B118" t="s">
        <v>136</v>
      </c>
      <c r="C118" s="3" t="s">
        <v>204</v>
      </c>
      <c r="D118" s="132" t="str">
        <f>VLOOKUP(C118,Mapping!$AB$2:$AC$8,2,FALSE)</f>
        <v>Age 0 - 1</v>
      </c>
      <c r="E118" s="132" t="str">
        <f t="shared" si="7"/>
        <v>Greater Bendigo (C)Age 0 - 1</v>
      </c>
      <c r="F118" s="132" t="str">
        <f>INDEX(Mapping!$Y:$Y,MATCH($B118,Mapping!$W:$W,0))</f>
        <v>Rural</v>
      </c>
      <c r="G118" s="45">
        <v>1444</v>
      </c>
      <c r="H118" s="45">
        <v>1407</v>
      </c>
      <c r="I118" s="45">
        <v>1354</v>
      </c>
      <c r="J118" s="5"/>
      <c r="K118" s="5"/>
      <c r="L118" s="5"/>
      <c r="M118" s="5"/>
    </row>
    <row r="119" spans="2:13" x14ac:dyDescent="0.3">
      <c r="B119" t="s">
        <v>155</v>
      </c>
      <c r="C119" s="3" t="s">
        <v>204</v>
      </c>
      <c r="D119" s="132" t="str">
        <f>VLOOKUP(C119,Mapping!$AB$2:$AC$8,2,FALSE)</f>
        <v>Age 0 - 1</v>
      </c>
      <c r="E119" s="132" t="str">
        <f t="shared" si="7"/>
        <v>Greater Dandenong (C)Age 0 - 1</v>
      </c>
      <c r="F119" s="132" t="str">
        <f>INDEX(Mapping!$Y:$Y,MATCH($B119,Mapping!$W:$W,0))</f>
        <v>Metro</v>
      </c>
      <c r="G119" s="45">
        <v>2699</v>
      </c>
      <c r="H119" s="45">
        <v>2317</v>
      </c>
      <c r="I119" s="45">
        <v>2294</v>
      </c>
      <c r="J119" s="5"/>
      <c r="K119" s="5"/>
      <c r="L119" s="5"/>
      <c r="M119" s="5"/>
    </row>
    <row r="120" spans="2:13" x14ac:dyDescent="0.3">
      <c r="B120" t="s">
        <v>170</v>
      </c>
      <c r="C120" s="3" t="s">
        <v>204</v>
      </c>
      <c r="D120" s="132" t="str">
        <f>VLOOKUP(C120,Mapping!$AB$2:$AC$8,2,FALSE)</f>
        <v>Age 0 - 1</v>
      </c>
      <c r="E120" s="132" t="str">
        <f t="shared" si="7"/>
        <v>Greater Geelong (C)Age 0 - 1</v>
      </c>
      <c r="F120" s="132" t="str">
        <f>INDEX(Mapping!$Y:$Y,MATCH($B120,Mapping!$W:$W,0))</f>
        <v>Rural</v>
      </c>
      <c r="G120" s="45">
        <v>2905</v>
      </c>
      <c r="H120" s="45">
        <v>2827</v>
      </c>
      <c r="I120" s="45">
        <v>2744</v>
      </c>
      <c r="J120" s="5"/>
      <c r="K120" s="5"/>
      <c r="L120" s="5"/>
      <c r="M120" s="5"/>
    </row>
    <row r="121" spans="2:13" x14ac:dyDescent="0.3">
      <c r="B121" t="s">
        <v>114</v>
      </c>
      <c r="C121" s="3" t="s">
        <v>204</v>
      </c>
      <c r="D121" s="132" t="str">
        <f>VLOOKUP(C121,Mapping!$AB$2:$AC$8,2,FALSE)</f>
        <v>Age 0 - 1</v>
      </c>
      <c r="E121" s="132" t="str">
        <f t="shared" si="7"/>
        <v>Greater Shepparton (C)Age 0 - 1</v>
      </c>
      <c r="F121" s="132" t="str">
        <f>INDEX(Mapping!$Y:$Y,MATCH($B121,Mapping!$W:$W,0))</f>
        <v>Rural</v>
      </c>
      <c r="G121" s="45">
        <v>860</v>
      </c>
      <c r="H121" s="45">
        <v>817</v>
      </c>
      <c r="I121" s="45">
        <v>915</v>
      </c>
      <c r="J121" s="5"/>
      <c r="K121" s="5"/>
      <c r="L121" s="5"/>
      <c r="M121" s="5"/>
    </row>
    <row r="122" spans="2:13" x14ac:dyDescent="0.3">
      <c r="B122" t="s">
        <v>171</v>
      </c>
      <c r="C122" s="3" t="s">
        <v>204</v>
      </c>
      <c r="D122" s="132" t="str">
        <f>VLOOKUP(C122,Mapping!$AB$2:$AC$8,2,FALSE)</f>
        <v>Age 0 - 1</v>
      </c>
      <c r="E122" s="132" t="str">
        <f t="shared" si="7"/>
        <v>Hepburn (S)Age 0 - 1</v>
      </c>
      <c r="F122" s="132" t="str">
        <f>INDEX(Mapping!$Y:$Y,MATCH($B122,Mapping!$W:$W,0))</f>
        <v>Rural</v>
      </c>
      <c r="G122" s="45">
        <v>124</v>
      </c>
      <c r="H122" s="45">
        <v>128</v>
      </c>
      <c r="I122" s="45">
        <v>120</v>
      </c>
      <c r="J122" s="5"/>
      <c r="K122" s="5"/>
      <c r="L122" s="5"/>
      <c r="M122" s="5"/>
    </row>
    <row r="123" spans="2:13" x14ac:dyDescent="0.3">
      <c r="B123" t="s">
        <v>172</v>
      </c>
      <c r="C123" s="3" t="s">
        <v>204</v>
      </c>
      <c r="D123" s="132" t="str">
        <f>VLOOKUP(C123,Mapping!$AB$2:$AC$8,2,FALSE)</f>
        <v>Age 0 - 1</v>
      </c>
      <c r="E123" s="132" t="str">
        <f t="shared" si="7"/>
        <v>Hindmarsh (S)Age 0 - 1</v>
      </c>
      <c r="F123" s="132" t="str">
        <f>INDEX(Mapping!$Y:$Y,MATCH($B123,Mapping!$W:$W,0))</f>
        <v>Rural</v>
      </c>
      <c r="G123" s="45">
        <v>56</v>
      </c>
      <c r="H123" s="45">
        <v>55</v>
      </c>
      <c r="I123" s="45">
        <v>64</v>
      </c>
      <c r="J123" s="5"/>
      <c r="K123" s="5"/>
      <c r="L123" s="5"/>
      <c r="M123" s="5"/>
    </row>
    <row r="124" spans="2:13" x14ac:dyDescent="0.3">
      <c r="B124" t="s">
        <v>173</v>
      </c>
      <c r="C124" s="3" t="s">
        <v>204</v>
      </c>
      <c r="D124" s="132" t="str">
        <f>VLOOKUP(C124,Mapping!$AB$2:$AC$8,2,FALSE)</f>
        <v>Age 0 - 1</v>
      </c>
      <c r="E124" s="132" t="str">
        <f t="shared" si="7"/>
        <v>Hobsons Bay (C)Age 0 - 1</v>
      </c>
      <c r="F124" s="132" t="str">
        <f>INDEX(Mapping!$Y:$Y,MATCH($B124,Mapping!$W:$W,0))</f>
        <v>Metro</v>
      </c>
      <c r="G124" s="45">
        <v>1401</v>
      </c>
      <c r="H124" s="45">
        <v>1246</v>
      </c>
      <c r="I124" s="45">
        <v>1272</v>
      </c>
      <c r="J124" s="5"/>
      <c r="K124" s="5"/>
      <c r="L124" s="5"/>
      <c r="M124" s="5"/>
    </row>
    <row r="125" spans="2:13" x14ac:dyDescent="0.3">
      <c r="B125" t="s">
        <v>174</v>
      </c>
      <c r="C125" s="3" t="s">
        <v>204</v>
      </c>
      <c r="D125" s="132" t="str">
        <f>VLOOKUP(C125,Mapping!$AB$2:$AC$8,2,FALSE)</f>
        <v>Age 0 - 1</v>
      </c>
      <c r="E125" s="132" t="str">
        <f t="shared" si="7"/>
        <v>Horsham (RC)Age 0 - 1</v>
      </c>
      <c r="F125" s="132" t="str">
        <f>INDEX(Mapping!$Y:$Y,MATCH($B125,Mapping!$W:$W,0))</f>
        <v>Rural</v>
      </c>
      <c r="G125" s="45">
        <v>281</v>
      </c>
      <c r="H125" s="45">
        <v>223</v>
      </c>
      <c r="I125" s="45">
        <v>232</v>
      </c>
      <c r="J125" s="5"/>
      <c r="K125" s="5"/>
      <c r="L125" s="5"/>
      <c r="M125" s="5"/>
    </row>
    <row r="126" spans="2:13" x14ac:dyDescent="0.3">
      <c r="B126" t="s">
        <v>137</v>
      </c>
      <c r="C126" s="3" t="s">
        <v>204</v>
      </c>
      <c r="D126" s="132" t="str">
        <f>VLOOKUP(C126,Mapping!$AB$2:$AC$8,2,FALSE)</f>
        <v>Age 0 - 1</v>
      </c>
      <c r="E126" s="132" t="str">
        <f t="shared" si="7"/>
        <v>Hume (C)Age 0 - 1</v>
      </c>
      <c r="F126" s="132" t="str">
        <f>INDEX(Mapping!$Y:$Y,MATCH($B126,Mapping!$W:$W,0))</f>
        <v>Interface</v>
      </c>
      <c r="G126" s="45">
        <v>3245</v>
      </c>
      <c r="H126" s="45">
        <v>3229</v>
      </c>
      <c r="I126" s="45">
        <v>3528</v>
      </c>
      <c r="J126" s="5"/>
      <c r="K126" s="5"/>
      <c r="L126" s="5"/>
      <c r="M126" s="5"/>
    </row>
    <row r="127" spans="2:13" x14ac:dyDescent="0.3">
      <c r="B127" t="s">
        <v>115</v>
      </c>
      <c r="C127" s="3" t="s">
        <v>204</v>
      </c>
      <c r="D127" s="132" t="str">
        <f>VLOOKUP(C127,Mapping!$AB$2:$AC$8,2,FALSE)</f>
        <v>Age 0 - 1</v>
      </c>
      <c r="E127" s="132" t="str">
        <f t="shared" si="7"/>
        <v>Indigo (S)Age 0 - 1</v>
      </c>
      <c r="F127" s="132" t="str">
        <f>INDEX(Mapping!$Y:$Y,MATCH($B127,Mapping!$W:$W,0))</f>
        <v>Rural</v>
      </c>
      <c r="G127" s="45">
        <v>129</v>
      </c>
      <c r="H127" s="45">
        <v>110</v>
      </c>
      <c r="I127" s="45">
        <v>115</v>
      </c>
      <c r="J127" s="5"/>
      <c r="K127" s="5"/>
      <c r="L127" s="5"/>
      <c r="M127" s="5"/>
    </row>
    <row r="128" spans="2:13" x14ac:dyDescent="0.3">
      <c r="B128" t="s">
        <v>156</v>
      </c>
      <c r="C128" s="3" t="s">
        <v>204</v>
      </c>
      <c r="D128" s="132" t="str">
        <f>VLOOKUP(C128,Mapping!$AB$2:$AC$8,2,FALSE)</f>
        <v>Age 0 - 1</v>
      </c>
      <c r="E128" s="132" t="str">
        <f t="shared" si="7"/>
        <v>Kingston (C)Age 0 - 1</v>
      </c>
      <c r="F128" s="132" t="str">
        <f>INDEX(Mapping!$Y:$Y,MATCH($B128,Mapping!$W:$W,0))</f>
        <v>Metro</v>
      </c>
      <c r="G128" s="45">
        <v>1942</v>
      </c>
      <c r="H128" s="45">
        <v>1813</v>
      </c>
      <c r="I128" s="45">
        <v>1759</v>
      </c>
      <c r="J128" s="5"/>
      <c r="K128" s="5"/>
      <c r="L128" s="5"/>
      <c r="M128" s="5"/>
    </row>
    <row r="129" spans="2:13" x14ac:dyDescent="0.3">
      <c r="B129" t="s">
        <v>116</v>
      </c>
      <c r="C129" s="3" t="s">
        <v>204</v>
      </c>
      <c r="D129" s="132" t="str">
        <f>VLOOKUP(C129,Mapping!$AB$2:$AC$8,2,FALSE)</f>
        <v>Age 0 - 1</v>
      </c>
      <c r="E129" s="132" t="str">
        <f t="shared" si="7"/>
        <v>Knox (C)Age 0 - 1</v>
      </c>
      <c r="F129" s="132" t="str">
        <f>INDEX(Mapping!$Y:$Y,MATCH($B129,Mapping!$W:$W,0))</f>
        <v>Metro</v>
      </c>
      <c r="G129" s="45">
        <v>1899</v>
      </c>
      <c r="H129" s="45">
        <v>1804</v>
      </c>
      <c r="I129" s="45">
        <v>1629</v>
      </c>
      <c r="J129" s="5"/>
      <c r="K129" s="5"/>
      <c r="L129" s="5"/>
      <c r="M129" s="5"/>
    </row>
    <row r="130" spans="2:13" x14ac:dyDescent="0.3">
      <c r="B130" t="s">
        <v>157</v>
      </c>
      <c r="C130" s="3" t="s">
        <v>204</v>
      </c>
      <c r="D130" s="132" t="str">
        <f>VLOOKUP(C130,Mapping!$AB$2:$AC$8,2,FALSE)</f>
        <v>Age 0 - 1</v>
      </c>
      <c r="E130" s="132" t="str">
        <f t="shared" si="7"/>
        <v>Latrobe (C)Age 0 - 1</v>
      </c>
      <c r="F130" s="132" t="str">
        <f>INDEX(Mapping!$Y:$Y,MATCH($B130,Mapping!$W:$W,0))</f>
        <v>Rural</v>
      </c>
      <c r="G130" s="45">
        <v>957</v>
      </c>
      <c r="H130" s="45">
        <v>873</v>
      </c>
      <c r="I130" s="45">
        <v>877</v>
      </c>
      <c r="J130" s="5"/>
      <c r="K130" s="5"/>
      <c r="L130" s="5"/>
      <c r="M130" s="5"/>
    </row>
    <row r="131" spans="2:13" x14ac:dyDescent="0.3">
      <c r="B131" t="s">
        <v>138</v>
      </c>
      <c r="C131" s="3" t="s">
        <v>204</v>
      </c>
      <c r="D131" s="132" t="str">
        <f>VLOOKUP(C131,Mapping!$AB$2:$AC$8,2,FALSE)</f>
        <v>Age 0 - 1</v>
      </c>
      <c r="E131" s="132" t="str">
        <f t="shared" si="7"/>
        <v>Loddon (S)Age 0 - 1</v>
      </c>
      <c r="F131" s="132" t="str">
        <f>INDEX(Mapping!$Y:$Y,MATCH($B131,Mapping!$W:$W,0))</f>
        <v>Rural</v>
      </c>
      <c r="G131" s="45">
        <v>63</v>
      </c>
      <c r="H131" s="45">
        <v>57</v>
      </c>
      <c r="I131" s="45">
        <v>58</v>
      </c>
      <c r="J131" s="5"/>
      <c r="K131" s="5"/>
      <c r="L131" s="5"/>
      <c r="M131" s="5"/>
    </row>
    <row r="132" spans="2:13" x14ac:dyDescent="0.3">
      <c r="B132" t="s">
        <v>139</v>
      </c>
      <c r="C132" s="3" t="s">
        <v>204</v>
      </c>
      <c r="D132" s="132" t="str">
        <f>VLOOKUP(C132,Mapping!$AB$2:$AC$8,2,FALSE)</f>
        <v>Age 0 - 1</v>
      </c>
      <c r="E132" s="132" t="str">
        <f t="shared" si="7"/>
        <v>Macedon Ranges (S)Age 0 - 1</v>
      </c>
      <c r="F132" s="132" t="str">
        <f>INDEX(Mapping!$Y:$Y,MATCH($B132,Mapping!$W:$W,0))</f>
        <v>Rural</v>
      </c>
      <c r="G132" s="45">
        <v>514</v>
      </c>
      <c r="H132" s="45">
        <v>535</v>
      </c>
      <c r="I132" s="45">
        <v>482</v>
      </c>
      <c r="J132" s="5"/>
      <c r="K132" s="5"/>
      <c r="L132" s="5"/>
      <c r="M132" s="5"/>
    </row>
    <row r="133" spans="2:13" x14ac:dyDescent="0.3">
      <c r="B133" t="s">
        <v>117</v>
      </c>
      <c r="C133" s="3" t="s">
        <v>204</v>
      </c>
      <c r="D133" s="132" t="str">
        <f>VLOOKUP(C133,Mapping!$AB$2:$AC$8,2,FALSE)</f>
        <v>Age 0 - 1</v>
      </c>
      <c r="E133" s="132" t="str">
        <f t="shared" si="7"/>
        <v>Manningham (C)Age 0 - 1</v>
      </c>
      <c r="F133" s="132" t="str">
        <f>INDEX(Mapping!$Y:$Y,MATCH($B133,Mapping!$W:$W,0))</f>
        <v>Metro</v>
      </c>
      <c r="G133" s="45">
        <v>1055</v>
      </c>
      <c r="H133" s="45">
        <v>1105</v>
      </c>
      <c r="I133" s="45">
        <v>1024</v>
      </c>
      <c r="J133" s="5"/>
      <c r="K133" s="5"/>
      <c r="L133" s="5"/>
      <c r="M133" s="5"/>
    </row>
    <row r="134" spans="2:13" x14ac:dyDescent="0.3">
      <c r="B134" t="s">
        <v>118</v>
      </c>
      <c r="C134" s="3" t="s">
        <v>204</v>
      </c>
      <c r="D134" s="132" t="str">
        <f>VLOOKUP(C134,Mapping!$AB$2:$AC$8,2,FALSE)</f>
        <v>Age 0 - 1</v>
      </c>
      <c r="E134" s="132" t="str">
        <f t="shared" si="7"/>
        <v>Mansfield (S)Age 0 - 1</v>
      </c>
      <c r="F134" s="132" t="str">
        <f>INDEX(Mapping!$Y:$Y,MATCH($B134,Mapping!$W:$W,0))</f>
        <v>Rural</v>
      </c>
      <c r="G134" s="45">
        <v>76</v>
      </c>
      <c r="H134" s="45">
        <v>88</v>
      </c>
      <c r="I134" s="45">
        <v>74</v>
      </c>
      <c r="J134" s="5"/>
      <c r="K134" s="5"/>
      <c r="L134" s="5"/>
      <c r="M134" s="5"/>
    </row>
    <row r="135" spans="2:13" x14ac:dyDescent="0.3">
      <c r="B135" t="s">
        <v>175</v>
      </c>
      <c r="C135" s="3" t="s">
        <v>204</v>
      </c>
      <c r="D135" s="132" t="str">
        <f>VLOOKUP(C135,Mapping!$AB$2:$AC$8,2,FALSE)</f>
        <v>Age 0 - 1</v>
      </c>
      <c r="E135" s="132" t="str">
        <f t="shared" si="7"/>
        <v>Maribyrnong (C)Age 0 - 1</v>
      </c>
      <c r="F135" s="132" t="str">
        <f>INDEX(Mapping!$Y:$Y,MATCH($B135,Mapping!$W:$W,0))</f>
        <v>Metro</v>
      </c>
      <c r="G135" s="45">
        <v>1386</v>
      </c>
      <c r="H135" s="45">
        <v>1261</v>
      </c>
      <c r="I135" s="45">
        <v>1255</v>
      </c>
      <c r="J135" s="5"/>
      <c r="K135" s="5"/>
      <c r="L135" s="5"/>
      <c r="M135" s="5"/>
    </row>
    <row r="136" spans="2:13" x14ac:dyDescent="0.3">
      <c r="B136" t="s">
        <v>119</v>
      </c>
      <c r="C136" s="3" t="s">
        <v>204</v>
      </c>
      <c r="D136" s="132" t="str">
        <f>VLOOKUP(C136,Mapping!$AB$2:$AC$8,2,FALSE)</f>
        <v>Age 0 - 1</v>
      </c>
      <c r="E136" s="132" t="str">
        <f t="shared" si="7"/>
        <v>Maroondah (C)Age 0 - 1</v>
      </c>
      <c r="F136" s="132" t="str">
        <f>INDEX(Mapping!$Y:$Y,MATCH($B136,Mapping!$W:$W,0))</f>
        <v>Metro</v>
      </c>
      <c r="G136" s="45">
        <v>1544</v>
      </c>
      <c r="H136" s="45">
        <v>1477</v>
      </c>
      <c r="I136" s="45">
        <v>1436</v>
      </c>
      <c r="J136" s="5"/>
      <c r="K136" s="5"/>
      <c r="L136" s="5"/>
      <c r="M136" s="5"/>
    </row>
    <row r="137" spans="2:13" x14ac:dyDescent="0.3">
      <c r="B137" t="s">
        <v>176</v>
      </c>
      <c r="C137" s="3" t="s">
        <v>204</v>
      </c>
      <c r="D137" s="132" t="str">
        <f>VLOOKUP(C137,Mapping!$AB$2:$AC$8,2,FALSE)</f>
        <v>Age 0 - 1</v>
      </c>
      <c r="E137" s="132" t="str">
        <f t="shared" si="7"/>
        <v>Melbourne (C)Age 0 - 1</v>
      </c>
      <c r="F137" s="132" t="str">
        <f>INDEX(Mapping!$Y:$Y,MATCH($B137,Mapping!$W:$W,0))</f>
        <v>Metro</v>
      </c>
      <c r="G137" s="45">
        <v>1282</v>
      </c>
      <c r="H137" s="45">
        <v>1220</v>
      </c>
      <c r="I137" s="45">
        <v>1245</v>
      </c>
      <c r="J137" s="5"/>
      <c r="K137" s="5"/>
      <c r="L137" s="5"/>
      <c r="M137" s="5"/>
    </row>
    <row r="138" spans="2:13" x14ac:dyDescent="0.3">
      <c r="B138" t="s">
        <v>177</v>
      </c>
      <c r="C138" s="3" t="s">
        <v>204</v>
      </c>
      <c r="D138" s="132" t="str">
        <f>VLOOKUP(C138,Mapping!$AB$2:$AC$8,2,FALSE)</f>
        <v>Age 0 - 1</v>
      </c>
      <c r="E138" s="132" t="str">
        <f t="shared" si="7"/>
        <v>Melton (C)Age 0 - 1</v>
      </c>
      <c r="F138" s="132" t="str">
        <f>INDEX(Mapping!$Y:$Y,MATCH($B138,Mapping!$W:$W,0))</f>
        <v>Interface</v>
      </c>
      <c r="G138" s="45">
        <v>2299</v>
      </c>
      <c r="H138" s="45">
        <v>2279</v>
      </c>
      <c r="I138" s="45">
        <v>2427</v>
      </c>
      <c r="J138" s="5"/>
      <c r="K138" s="5"/>
      <c r="L138" s="5"/>
      <c r="M138" s="5"/>
    </row>
    <row r="139" spans="2:13" x14ac:dyDescent="0.3">
      <c r="B139" t="s">
        <v>140</v>
      </c>
      <c r="C139" s="3" t="s">
        <v>204</v>
      </c>
      <c r="D139" s="132" t="str">
        <f>VLOOKUP(C139,Mapping!$AB$2:$AC$8,2,FALSE)</f>
        <v>Age 0 - 1</v>
      </c>
      <c r="E139" s="132" t="str">
        <f t="shared" si="7"/>
        <v>Mildura (RC)Age 0 - 1</v>
      </c>
      <c r="F139" s="132" t="str">
        <f>INDEX(Mapping!$Y:$Y,MATCH($B139,Mapping!$W:$W,0))</f>
        <v>Rural</v>
      </c>
      <c r="G139" s="45">
        <v>680</v>
      </c>
      <c r="H139" s="45">
        <v>716</v>
      </c>
      <c r="I139" s="45">
        <v>632</v>
      </c>
      <c r="J139" s="5"/>
      <c r="K139" s="5"/>
      <c r="L139" s="5"/>
      <c r="M139" s="5"/>
    </row>
    <row r="140" spans="2:13" x14ac:dyDescent="0.3">
      <c r="B140" t="s">
        <v>120</v>
      </c>
      <c r="C140" s="3" t="s">
        <v>204</v>
      </c>
      <c r="D140" s="132" t="str">
        <f>VLOOKUP(C140,Mapping!$AB$2:$AC$8,2,FALSE)</f>
        <v>Age 0 - 1</v>
      </c>
      <c r="E140" s="132" t="str">
        <f t="shared" si="7"/>
        <v>Mitchell (S)Age 0 - 1</v>
      </c>
      <c r="F140" s="132" t="str">
        <f>INDEX(Mapping!$Y:$Y,MATCH($B140,Mapping!$W:$W,0))</f>
        <v>Interface</v>
      </c>
      <c r="G140" s="45">
        <v>551</v>
      </c>
      <c r="H140" s="45">
        <v>546</v>
      </c>
      <c r="I140" s="45">
        <v>580</v>
      </c>
      <c r="J140" s="5"/>
      <c r="K140" s="5"/>
      <c r="L140" s="5"/>
      <c r="M140" s="5"/>
    </row>
    <row r="141" spans="2:13" x14ac:dyDescent="0.3">
      <c r="B141" t="s">
        <v>121</v>
      </c>
      <c r="C141" s="3" t="s">
        <v>204</v>
      </c>
      <c r="D141" s="132" t="str">
        <f>VLOOKUP(C141,Mapping!$AB$2:$AC$8,2,FALSE)</f>
        <v>Age 0 - 1</v>
      </c>
      <c r="E141" s="132" t="str">
        <f t="shared" si="7"/>
        <v>Moira (S)Age 0 - 1</v>
      </c>
      <c r="F141" s="132" t="str">
        <f>INDEX(Mapping!$Y:$Y,MATCH($B141,Mapping!$W:$W,0))</f>
        <v>Rural</v>
      </c>
      <c r="G141" s="45">
        <v>380</v>
      </c>
      <c r="H141" s="45">
        <v>361</v>
      </c>
      <c r="I141" s="45">
        <v>377</v>
      </c>
      <c r="J141" s="5"/>
      <c r="K141" s="5"/>
      <c r="L141" s="5"/>
      <c r="M141" s="5"/>
    </row>
    <row r="142" spans="2:13" x14ac:dyDescent="0.3">
      <c r="B142" t="s">
        <v>122</v>
      </c>
      <c r="C142" s="3" t="s">
        <v>204</v>
      </c>
      <c r="D142" s="132" t="str">
        <f>VLOOKUP(C142,Mapping!$AB$2:$AC$8,2,FALSE)</f>
        <v>Age 0 - 1</v>
      </c>
      <c r="E142" s="132" t="str">
        <f t="shared" si="7"/>
        <v>Monash (C)Age 0 - 1</v>
      </c>
      <c r="F142" s="132" t="str">
        <f>INDEX(Mapping!$Y:$Y,MATCH($B142,Mapping!$W:$W,0))</f>
        <v>Metro</v>
      </c>
      <c r="G142" s="45">
        <v>1869</v>
      </c>
      <c r="H142" s="45">
        <v>1892</v>
      </c>
      <c r="I142" s="45">
        <v>1647</v>
      </c>
      <c r="J142" s="5"/>
      <c r="K142" s="5"/>
      <c r="L142" s="5"/>
      <c r="M142" s="5"/>
    </row>
    <row r="143" spans="2:13" x14ac:dyDescent="0.3">
      <c r="B143" t="s">
        <v>178</v>
      </c>
      <c r="C143" s="3" t="s">
        <v>204</v>
      </c>
      <c r="D143" s="132" t="str">
        <f>VLOOKUP(C143,Mapping!$AB$2:$AC$8,2,FALSE)</f>
        <v>Age 0 - 1</v>
      </c>
      <c r="E143" s="132" t="str">
        <f t="shared" si="7"/>
        <v>Moonee Valley (C)Age 0 - 1</v>
      </c>
      <c r="F143" s="132" t="str">
        <f>INDEX(Mapping!$Y:$Y,MATCH($B143,Mapping!$W:$W,0))</f>
        <v>Metro</v>
      </c>
      <c r="G143" s="45">
        <v>1509</v>
      </c>
      <c r="H143" s="45">
        <v>1379</v>
      </c>
      <c r="I143" s="45">
        <v>1352</v>
      </c>
      <c r="J143" s="5"/>
      <c r="K143" s="5"/>
      <c r="L143" s="5"/>
      <c r="M143" s="5"/>
    </row>
    <row r="144" spans="2:13" x14ac:dyDescent="0.3">
      <c r="B144" t="s">
        <v>179</v>
      </c>
      <c r="C144" s="3" t="s">
        <v>204</v>
      </c>
      <c r="D144" s="132" t="str">
        <f>VLOOKUP(C144,Mapping!$AB$2:$AC$8,2,FALSE)</f>
        <v>Age 0 - 1</v>
      </c>
      <c r="E144" s="132" t="str">
        <f t="shared" ref="E144:E207" si="12">B144&amp;D144</f>
        <v>Moorabool (S)Age 0 - 1</v>
      </c>
      <c r="F144" s="132" t="str">
        <f>INDEX(Mapping!$Y:$Y,MATCH($B144,Mapping!$W:$W,0))</f>
        <v>Rural</v>
      </c>
      <c r="G144" s="45">
        <v>377</v>
      </c>
      <c r="H144" s="45">
        <v>358</v>
      </c>
      <c r="I144" s="45">
        <v>380</v>
      </c>
      <c r="J144" s="5"/>
      <c r="K144" s="5"/>
      <c r="L144" s="5"/>
      <c r="M144" s="5"/>
    </row>
    <row r="145" spans="2:13" x14ac:dyDescent="0.3">
      <c r="B145" t="s">
        <v>141</v>
      </c>
      <c r="C145" s="3" t="s">
        <v>204</v>
      </c>
      <c r="D145" s="132" t="str">
        <f>VLOOKUP(C145,Mapping!$AB$2:$AC$8,2,FALSE)</f>
        <v>Age 0 - 1</v>
      </c>
      <c r="E145" s="132" t="str">
        <f t="shared" si="12"/>
        <v>Moreland (C)Age 0 - 1</v>
      </c>
      <c r="F145" s="132" t="str">
        <f>INDEX(Mapping!$Y:$Y,MATCH($B145,Mapping!$W:$W,0))</f>
        <v>Metro</v>
      </c>
      <c r="G145" s="45">
        <v>2488</v>
      </c>
      <c r="H145" s="45">
        <v>2490</v>
      </c>
      <c r="I145" s="45">
        <v>2425</v>
      </c>
      <c r="J145" s="5"/>
      <c r="K145" s="5"/>
      <c r="L145" s="5"/>
      <c r="M145" s="5"/>
    </row>
    <row r="146" spans="2:13" x14ac:dyDescent="0.3">
      <c r="B146" t="s">
        <v>158</v>
      </c>
      <c r="C146" s="3" t="s">
        <v>204</v>
      </c>
      <c r="D146" s="132" t="str">
        <f>VLOOKUP(C146,Mapping!$AB$2:$AC$8,2,FALSE)</f>
        <v>Age 0 - 1</v>
      </c>
      <c r="E146" s="132" t="str">
        <f t="shared" si="12"/>
        <v>Mornington Peninsula (S)Age 0 - 1</v>
      </c>
      <c r="F146" s="132" t="str">
        <f>INDEX(Mapping!$Y:$Y,MATCH($B146,Mapping!$W:$W,0))</f>
        <v>Interface</v>
      </c>
      <c r="G146" s="45">
        <v>1659</v>
      </c>
      <c r="H146" s="45">
        <v>1541</v>
      </c>
      <c r="I146" s="45">
        <v>1493</v>
      </c>
      <c r="J146" s="5"/>
      <c r="K146" s="5"/>
      <c r="L146" s="5"/>
      <c r="M146" s="5"/>
    </row>
    <row r="147" spans="2:13" x14ac:dyDescent="0.3">
      <c r="B147" t="s">
        <v>142</v>
      </c>
      <c r="C147" s="3" t="s">
        <v>204</v>
      </c>
      <c r="D147" s="132" t="str">
        <f>VLOOKUP(C147,Mapping!$AB$2:$AC$8,2,FALSE)</f>
        <v>Age 0 - 1</v>
      </c>
      <c r="E147" s="132" t="str">
        <f t="shared" si="12"/>
        <v>Mount Alexander (S)Age 0 - 1</v>
      </c>
      <c r="F147" s="132" t="str">
        <f>INDEX(Mapping!$Y:$Y,MATCH($B147,Mapping!$W:$W,0))</f>
        <v>Rural</v>
      </c>
      <c r="G147" s="45">
        <v>169</v>
      </c>
      <c r="H147" s="45">
        <v>112</v>
      </c>
      <c r="I147" s="45">
        <v>136</v>
      </c>
      <c r="J147" s="5"/>
      <c r="K147" s="5"/>
      <c r="L147" s="5"/>
      <c r="M147" s="5"/>
    </row>
    <row r="148" spans="2:13" x14ac:dyDescent="0.3">
      <c r="B148" t="s">
        <v>180</v>
      </c>
      <c r="C148" s="3" t="s">
        <v>204</v>
      </c>
      <c r="D148" s="132" t="str">
        <f>VLOOKUP(C148,Mapping!$AB$2:$AC$8,2,FALSE)</f>
        <v>Age 0 - 1</v>
      </c>
      <c r="E148" s="132" t="str">
        <f t="shared" si="12"/>
        <v>Moyne (S)Age 0 - 1</v>
      </c>
      <c r="F148" s="132" t="str">
        <f>INDEX(Mapping!$Y:$Y,MATCH($B148,Mapping!$W:$W,0))</f>
        <v>Rural</v>
      </c>
      <c r="G148" s="45">
        <v>192</v>
      </c>
      <c r="H148" s="45">
        <v>109</v>
      </c>
      <c r="I148" s="45">
        <v>162</v>
      </c>
      <c r="J148" s="5"/>
      <c r="K148" s="5"/>
      <c r="L148" s="5"/>
      <c r="M148" s="5"/>
    </row>
    <row r="149" spans="2:13" x14ac:dyDescent="0.3">
      <c r="B149" t="s">
        <v>123</v>
      </c>
      <c r="C149" s="3" t="s">
        <v>204</v>
      </c>
      <c r="D149" s="132" t="str">
        <f>VLOOKUP(C149,Mapping!$AB$2:$AC$8,2,FALSE)</f>
        <v>Age 0 - 1</v>
      </c>
      <c r="E149" s="132" t="str">
        <f t="shared" si="12"/>
        <v>Murrindindi (S)Age 0 - 1</v>
      </c>
      <c r="F149" s="132" t="str">
        <f>INDEX(Mapping!$Y:$Y,MATCH($B149,Mapping!$W:$W,0))</f>
        <v>Rural</v>
      </c>
      <c r="G149" s="45">
        <v>121</v>
      </c>
      <c r="H149" s="45">
        <v>122</v>
      </c>
      <c r="I149" s="45">
        <v>120</v>
      </c>
      <c r="J149" s="5"/>
      <c r="K149" s="5"/>
      <c r="L149" s="5"/>
      <c r="M149" s="5"/>
    </row>
    <row r="150" spans="2:13" x14ac:dyDescent="0.3">
      <c r="B150" t="s">
        <v>143</v>
      </c>
      <c r="C150" s="3" t="s">
        <v>204</v>
      </c>
      <c r="D150" s="132" t="str">
        <f>VLOOKUP(C150,Mapping!$AB$2:$AC$8,2,FALSE)</f>
        <v>Age 0 - 1</v>
      </c>
      <c r="E150" s="132" t="str">
        <f t="shared" si="12"/>
        <v>Nillumbik (S)Age 0 - 1</v>
      </c>
      <c r="F150" s="132" t="str">
        <f>INDEX(Mapping!$Y:$Y,MATCH($B150,Mapping!$W:$W,0))</f>
        <v>Interface</v>
      </c>
      <c r="G150" s="45">
        <v>642</v>
      </c>
      <c r="H150" s="45">
        <v>603</v>
      </c>
      <c r="I150" s="45">
        <v>600</v>
      </c>
      <c r="J150" s="5"/>
      <c r="K150" s="5"/>
      <c r="L150" s="5"/>
      <c r="M150" s="5"/>
    </row>
    <row r="151" spans="2:13" x14ac:dyDescent="0.3">
      <c r="B151" t="s">
        <v>181</v>
      </c>
      <c r="C151" s="3" t="s">
        <v>204</v>
      </c>
      <c r="D151" s="132" t="str">
        <f>VLOOKUP(C151,Mapping!$AB$2:$AC$8,2,FALSE)</f>
        <v>Age 0 - 1</v>
      </c>
      <c r="E151" s="132" t="str">
        <f t="shared" si="12"/>
        <v>Northern Grampians (S)Age 0 - 1</v>
      </c>
      <c r="F151" s="132" t="str">
        <f>INDEX(Mapping!$Y:$Y,MATCH($B151,Mapping!$W:$W,0))</f>
        <v>Rural</v>
      </c>
      <c r="G151" s="45">
        <v>120</v>
      </c>
      <c r="H151" s="45">
        <v>105</v>
      </c>
      <c r="I151" s="45">
        <v>96</v>
      </c>
      <c r="J151" s="5"/>
      <c r="K151" s="5"/>
      <c r="L151" s="5"/>
      <c r="M151" s="5"/>
    </row>
    <row r="152" spans="2:13" x14ac:dyDescent="0.3">
      <c r="B152" t="s">
        <v>159</v>
      </c>
      <c r="C152" s="3" t="s">
        <v>204</v>
      </c>
      <c r="D152" s="132" t="str">
        <f>VLOOKUP(C152,Mapping!$AB$2:$AC$8,2,FALSE)</f>
        <v>Age 0 - 1</v>
      </c>
      <c r="E152" s="132" t="str">
        <f t="shared" si="12"/>
        <v>Port Phillip (C)Age 0 - 1</v>
      </c>
      <c r="F152" s="132" t="str">
        <f>INDEX(Mapping!$Y:$Y,MATCH($B152,Mapping!$W:$W,0))</f>
        <v>Metro</v>
      </c>
      <c r="G152" s="45">
        <v>1393</v>
      </c>
      <c r="H152" s="45">
        <v>1302</v>
      </c>
      <c r="I152" s="45">
        <v>1248</v>
      </c>
      <c r="J152" s="5"/>
      <c r="K152" s="5"/>
      <c r="L152" s="5"/>
      <c r="M152" s="5"/>
    </row>
    <row r="153" spans="2:13" x14ac:dyDescent="0.3">
      <c r="B153" t="s">
        <v>182</v>
      </c>
      <c r="C153" s="3" t="s">
        <v>204</v>
      </c>
      <c r="D153" s="132" t="str">
        <f>VLOOKUP(C153,Mapping!$AB$2:$AC$8,2,FALSE)</f>
        <v>Age 0 - 1</v>
      </c>
      <c r="E153" s="132" t="str">
        <f t="shared" si="12"/>
        <v>Pyrenees (S)Age 0 - 1</v>
      </c>
      <c r="F153" s="132" t="str">
        <f>INDEX(Mapping!$Y:$Y,MATCH($B153,Mapping!$W:$W,0))</f>
        <v>Rural</v>
      </c>
      <c r="G153" s="45">
        <v>49</v>
      </c>
      <c r="H153" s="45">
        <v>52</v>
      </c>
      <c r="I153" s="45">
        <v>55</v>
      </c>
      <c r="J153" s="5"/>
      <c r="K153" s="5"/>
      <c r="L153" s="5"/>
      <c r="M153" s="5"/>
    </row>
    <row r="154" spans="2:13" x14ac:dyDescent="0.3">
      <c r="B154" t="s">
        <v>183</v>
      </c>
      <c r="C154" s="3" t="s">
        <v>204</v>
      </c>
      <c r="D154" s="132" t="str">
        <f>VLOOKUP(C154,Mapping!$AB$2:$AC$8,2,FALSE)</f>
        <v>Age 0 - 1</v>
      </c>
      <c r="E154" s="132" t="str">
        <f t="shared" si="12"/>
        <v>Queenscliffe (B)Age 0 - 1</v>
      </c>
      <c r="F154" s="132" t="str">
        <f>INDEX(Mapping!$Y:$Y,MATCH($B154,Mapping!$W:$W,0))</f>
        <v>Rural</v>
      </c>
      <c r="G154" s="45">
        <v>19</v>
      </c>
      <c r="H154" s="45">
        <v>22</v>
      </c>
      <c r="I154" s="45">
        <v>20</v>
      </c>
      <c r="J154" s="5"/>
      <c r="K154" s="5"/>
      <c r="L154" s="5"/>
      <c r="M154" s="5"/>
    </row>
    <row r="155" spans="2:13" x14ac:dyDescent="0.3">
      <c r="B155" t="s">
        <v>160</v>
      </c>
      <c r="C155" s="3" t="s">
        <v>204</v>
      </c>
      <c r="D155" s="132" t="str">
        <f>VLOOKUP(C155,Mapping!$AB$2:$AC$8,2,FALSE)</f>
        <v>Age 0 - 1</v>
      </c>
      <c r="E155" s="132" t="str">
        <f t="shared" si="12"/>
        <v>South Gippsland (S)Age 0 - 1</v>
      </c>
      <c r="F155" s="132" t="str">
        <f>INDEX(Mapping!$Y:$Y,MATCH($B155,Mapping!$W:$W,0))</f>
        <v>Rural</v>
      </c>
      <c r="G155" s="45">
        <v>311</v>
      </c>
      <c r="H155" s="45">
        <v>261</v>
      </c>
      <c r="I155" s="45">
        <v>282</v>
      </c>
      <c r="J155" s="5"/>
      <c r="K155" s="5"/>
      <c r="L155" s="5"/>
      <c r="M155" s="5"/>
    </row>
    <row r="156" spans="2:13" x14ac:dyDescent="0.3">
      <c r="B156" t="s">
        <v>184</v>
      </c>
      <c r="C156" s="3" t="s">
        <v>204</v>
      </c>
      <c r="D156" s="132" t="str">
        <f>VLOOKUP(C156,Mapping!$AB$2:$AC$8,2,FALSE)</f>
        <v>Age 0 - 1</v>
      </c>
      <c r="E156" s="132" t="str">
        <f t="shared" si="12"/>
        <v>Southern Grampians (S)Age 0 - 1</v>
      </c>
      <c r="F156" s="132" t="str">
        <f>INDEX(Mapping!$Y:$Y,MATCH($B156,Mapping!$W:$W,0))</f>
        <v>Rural</v>
      </c>
      <c r="G156" s="45">
        <v>175</v>
      </c>
      <c r="H156" s="45">
        <v>163</v>
      </c>
      <c r="I156" s="45">
        <v>199</v>
      </c>
      <c r="J156" s="5"/>
      <c r="K156" s="5"/>
      <c r="L156" s="5"/>
      <c r="M156" s="5"/>
    </row>
    <row r="157" spans="2:13" x14ac:dyDescent="0.3">
      <c r="B157" t="s">
        <v>161</v>
      </c>
      <c r="C157" s="3" t="s">
        <v>204</v>
      </c>
      <c r="D157" s="132" t="str">
        <f>VLOOKUP(C157,Mapping!$AB$2:$AC$8,2,FALSE)</f>
        <v>Age 0 - 1</v>
      </c>
      <c r="E157" s="132" t="str">
        <f t="shared" si="12"/>
        <v>Stonnington (C)Age 0 - 1</v>
      </c>
      <c r="F157" s="132" t="str">
        <f>INDEX(Mapping!$Y:$Y,MATCH($B157,Mapping!$W:$W,0))</f>
        <v>Metro</v>
      </c>
      <c r="G157" s="45">
        <v>1054</v>
      </c>
      <c r="H157" s="45">
        <v>1137</v>
      </c>
      <c r="I157" s="45">
        <v>1020</v>
      </c>
      <c r="J157" s="5"/>
      <c r="K157" s="5"/>
      <c r="L157" s="5"/>
      <c r="M157" s="5"/>
    </row>
    <row r="158" spans="2:13" x14ac:dyDescent="0.3">
      <c r="B158" t="s">
        <v>124</v>
      </c>
      <c r="C158" s="3" t="s">
        <v>204</v>
      </c>
      <c r="D158" s="132" t="str">
        <f>VLOOKUP(C158,Mapping!$AB$2:$AC$8,2,FALSE)</f>
        <v>Age 0 - 1</v>
      </c>
      <c r="E158" s="132" t="str">
        <f t="shared" si="12"/>
        <v>Strathbogie (S)Age 0 - 1</v>
      </c>
      <c r="F158" s="132" t="str">
        <f>INDEX(Mapping!$Y:$Y,MATCH($B158,Mapping!$W:$W,0))</f>
        <v>Rural</v>
      </c>
      <c r="G158" s="45">
        <v>83</v>
      </c>
      <c r="H158" s="45">
        <v>88</v>
      </c>
      <c r="I158" s="45">
        <v>93</v>
      </c>
      <c r="J158" s="5"/>
      <c r="K158" s="5"/>
      <c r="L158" s="5"/>
      <c r="M158" s="5"/>
    </row>
    <row r="159" spans="2:13" x14ac:dyDescent="0.3">
      <c r="B159" t="s">
        <v>185</v>
      </c>
      <c r="C159" s="3" t="s">
        <v>204</v>
      </c>
      <c r="D159" s="132" t="str">
        <f>VLOOKUP(C159,Mapping!$AB$2:$AC$8,2,FALSE)</f>
        <v>Age 0 - 1</v>
      </c>
      <c r="E159" s="132" t="str">
        <f t="shared" si="12"/>
        <v>Surf Coast (S)Age 0 - 1</v>
      </c>
      <c r="F159" s="132" t="str">
        <f>INDEX(Mapping!$Y:$Y,MATCH($B159,Mapping!$W:$W,0))</f>
        <v>Rural</v>
      </c>
      <c r="G159" s="45">
        <v>341</v>
      </c>
      <c r="H159" s="45">
        <v>324</v>
      </c>
      <c r="I159" s="45">
        <v>378</v>
      </c>
      <c r="J159" s="5"/>
      <c r="K159" s="5"/>
      <c r="L159" s="5"/>
      <c r="M159" s="5"/>
    </row>
    <row r="160" spans="2:13" x14ac:dyDescent="0.3">
      <c r="B160" t="s">
        <v>144</v>
      </c>
      <c r="C160" s="3" t="s">
        <v>204</v>
      </c>
      <c r="D160" s="132" t="str">
        <f>VLOOKUP(C160,Mapping!$AB$2:$AC$8,2,FALSE)</f>
        <v>Age 0 - 1</v>
      </c>
      <c r="E160" s="132" t="str">
        <f t="shared" si="12"/>
        <v>Swan Hill (RC)Age 0 - 1</v>
      </c>
      <c r="F160" s="132" t="str">
        <f>INDEX(Mapping!$Y:$Y,MATCH($B160,Mapping!$W:$W,0))</f>
        <v>Rural</v>
      </c>
      <c r="G160" s="45">
        <v>316</v>
      </c>
      <c r="H160" s="45">
        <v>314</v>
      </c>
      <c r="I160" s="45">
        <v>288</v>
      </c>
      <c r="J160" s="5"/>
      <c r="K160" s="5"/>
      <c r="L160" s="5"/>
      <c r="M160" s="5"/>
    </row>
    <row r="161" spans="2:13" x14ac:dyDescent="0.3">
      <c r="B161" t="s">
        <v>125</v>
      </c>
      <c r="C161" s="3" t="s">
        <v>204</v>
      </c>
      <c r="D161" s="132" t="str">
        <f>VLOOKUP(C161,Mapping!$AB$2:$AC$8,2,FALSE)</f>
        <v>Age 0 - 1</v>
      </c>
      <c r="E161" s="132" t="str">
        <f t="shared" si="12"/>
        <v>Towong (S)Age 0 - 1</v>
      </c>
      <c r="F161" s="132" t="str">
        <f>INDEX(Mapping!$Y:$Y,MATCH($B161,Mapping!$W:$W,0))</f>
        <v>Rural</v>
      </c>
      <c r="G161" s="45">
        <v>55</v>
      </c>
      <c r="H161" s="45">
        <v>67</v>
      </c>
      <c r="I161" s="45">
        <v>41</v>
      </c>
      <c r="J161" s="5"/>
      <c r="K161" s="5"/>
      <c r="L161" s="5"/>
      <c r="M161" s="5"/>
    </row>
    <row r="162" spans="2:13" x14ac:dyDescent="0.3">
      <c r="B162" t="s">
        <v>126</v>
      </c>
      <c r="C162" s="3" t="s">
        <v>204</v>
      </c>
      <c r="D162" s="132" t="str">
        <f>VLOOKUP(C162,Mapping!$AB$2:$AC$8,2,FALSE)</f>
        <v>Age 0 - 1</v>
      </c>
      <c r="E162" s="132" t="str">
        <f t="shared" si="12"/>
        <v>Wangaratta (RC)Age 0 - 1</v>
      </c>
      <c r="F162" s="132" t="str">
        <f>INDEX(Mapping!$Y:$Y,MATCH($B162,Mapping!$W:$W,0))</f>
        <v>Rural</v>
      </c>
      <c r="G162" s="45">
        <v>285</v>
      </c>
      <c r="H162" s="45">
        <v>301</v>
      </c>
      <c r="I162" s="45">
        <v>277</v>
      </c>
      <c r="J162" s="5"/>
      <c r="K162" s="5"/>
      <c r="L162" s="5"/>
      <c r="M162" s="5"/>
    </row>
    <row r="163" spans="2:13" x14ac:dyDescent="0.3">
      <c r="B163" t="s">
        <v>186</v>
      </c>
      <c r="C163" s="3" t="s">
        <v>204</v>
      </c>
      <c r="D163" s="132" t="str">
        <f>VLOOKUP(C163,Mapping!$AB$2:$AC$8,2,FALSE)</f>
        <v>Age 0 - 1</v>
      </c>
      <c r="E163" s="132" t="str">
        <f t="shared" si="12"/>
        <v>Warrnambool (C)Age 0 - 1</v>
      </c>
      <c r="F163" s="132" t="str">
        <f>INDEX(Mapping!$Y:$Y,MATCH($B163,Mapping!$W:$W,0))</f>
        <v>Rural</v>
      </c>
      <c r="G163" s="45">
        <v>401</v>
      </c>
      <c r="H163" s="45">
        <v>344</v>
      </c>
      <c r="I163" s="45">
        <v>345</v>
      </c>
      <c r="J163" s="5"/>
      <c r="K163" s="5"/>
      <c r="L163" s="5"/>
      <c r="M163" s="5"/>
    </row>
    <row r="164" spans="2:13" x14ac:dyDescent="0.3">
      <c r="B164" t="s">
        <v>162</v>
      </c>
      <c r="C164" s="3" t="s">
        <v>204</v>
      </c>
      <c r="D164" s="132" t="str">
        <f>VLOOKUP(C164,Mapping!$AB$2:$AC$8,2,FALSE)</f>
        <v>Age 0 - 1</v>
      </c>
      <c r="E164" s="132" t="str">
        <f t="shared" si="12"/>
        <v>Wellington (S)Age 0 - 1</v>
      </c>
      <c r="F164" s="132" t="str">
        <f>INDEX(Mapping!$Y:$Y,MATCH($B164,Mapping!$W:$W,0))</f>
        <v>Rural</v>
      </c>
      <c r="G164" s="45">
        <v>464</v>
      </c>
      <c r="H164" s="45">
        <v>488</v>
      </c>
      <c r="I164" s="45">
        <v>448</v>
      </c>
      <c r="J164" s="5"/>
      <c r="K164" s="5"/>
      <c r="L164" s="5"/>
      <c r="M164" s="5"/>
    </row>
    <row r="165" spans="2:13" x14ac:dyDescent="0.3">
      <c r="B165" t="s">
        <v>187</v>
      </c>
      <c r="C165" s="3" t="s">
        <v>204</v>
      </c>
      <c r="D165" s="132" t="str">
        <f>VLOOKUP(C165,Mapping!$AB$2:$AC$8,2,FALSE)</f>
        <v>Age 0 - 1</v>
      </c>
      <c r="E165" s="132" t="str">
        <f t="shared" si="12"/>
        <v>West Wimmera (S)Age 0 - 1</v>
      </c>
      <c r="F165" s="132" t="str">
        <f>INDEX(Mapping!$Y:$Y,MATCH($B165,Mapping!$W:$W,0))</f>
        <v>Rural</v>
      </c>
      <c r="G165" s="45">
        <v>29</v>
      </c>
      <c r="H165" s="45">
        <v>36</v>
      </c>
      <c r="I165" s="45">
        <v>52</v>
      </c>
      <c r="J165" s="5"/>
      <c r="K165" s="5"/>
      <c r="L165" s="5"/>
      <c r="M165" s="5"/>
    </row>
    <row r="166" spans="2:13" x14ac:dyDescent="0.3">
      <c r="B166" t="s">
        <v>127</v>
      </c>
      <c r="C166" s="3" t="s">
        <v>204</v>
      </c>
      <c r="D166" s="132" t="str">
        <f>VLOOKUP(C166,Mapping!$AB$2:$AC$8,2,FALSE)</f>
        <v>Age 0 - 1</v>
      </c>
      <c r="E166" s="132" t="str">
        <f t="shared" si="12"/>
        <v>Whitehorse (C)Age 0 - 1</v>
      </c>
      <c r="F166" s="132" t="str">
        <f>INDEX(Mapping!$Y:$Y,MATCH($B166,Mapping!$W:$W,0))</f>
        <v>Metro</v>
      </c>
      <c r="G166" s="45">
        <v>1724</v>
      </c>
      <c r="H166" s="45">
        <v>2163</v>
      </c>
      <c r="I166" s="45">
        <v>1594</v>
      </c>
      <c r="J166" s="5"/>
      <c r="K166" s="5"/>
      <c r="L166" s="5"/>
      <c r="M166" s="5"/>
    </row>
    <row r="167" spans="2:13" x14ac:dyDescent="0.3">
      <c r="B167" t="s">
        <v>145</v>
      </c>
      <c r="C167" s="3" t="s">
        <v>204</v>
      </c>
      <c r="D167" s="132" t="str">
        <f>VLOOKUP(C167,Mapping!$AB$2:$AC$8,2,FALSE)</f>
        <v>Age 0 - 1</v>
      </c>
      <c r="E167" s="132" t="str">
        <f t="shared" si="12"/>
        <v>Whittlesea (C)Age 0 - 1</v>
      </c>
      <c r="F167" s="132" t="str">
        <f>INDEX(Mapping!$Y:$Y,MATCH($B167,Mapping!$W:$W,0))</f>
        <v>Interface</v>
      </c>
      <c r="G167" s="45">
        <v>3384</v>
      </c>
      <c r="H167" s="45">
        <v>3446</v>
      </c>
      <c r="I167" s="45">
        <v>3308</v>
      </c>
      <c r="J167" s="5"/>
      <c r="K167" s="5"/>
      <c r="L167" s="5"/>
      <c r="M167" s="5"/>
    </row>
    <row r="168" spans="2:13" x14ac:dyDescent="0.3">
      <c r="B168" t="s">
        <v>128</v>
      </c>
      <c r="C168" s="3" t="s">
        <v>204</v>
      </c>
      <c r="D168" s="132" t="str">
        <f>VLOOKUP(C168,Mapping!$AB$2:$AC$8,2,FALSE)</f>
        <v>Age 0 - 1</v>
      </c>
      <c r="E168" s="132" t="str">
        <f t="shared" si="12"/>
        <v>Wodonga (RC)Age 0 - 1</v>
      </c>
      <c r="F168" s="132" t="str">
        <f>INDEX(Mapping!$Y:$Y,MATCH($B168,Mapping!$W:$W,0))</f>
        <v>Rural</v>
      </c>
      <c r="G168" s="45">
        <v>582</v>
      </c>
      <c r="H168" s="45">
        <v>526</v>
      </c>
      <c r="I168" s="45">
        <v>539</v>
      </c>
      <c r="J168" s="5"/>
      <c r="K168" s="5"/>
      <c r="L168" s="5"/>
      <c r="M168" s="5"/>
    </row>
    <row r="169" spans="2:13" x14ac:dyDescent="0.3">
      <c r="B169" t="s">
        <v>188</v>
      </c>
      <c r="C169" s="3" t="s">
        <v>204</v>
      </c>
      <c r="D169" s="132" t="str">
        <f>VLOOKUP(C169,Mapping!$AB$2:$AC$8,2,FALSE)</f>
        <v>Age 0 - 1</v>
      </c>
      <c r="E169" s="132" t="str">
        <f t="shared" si="12"/>
        <v>Wyndham (C)Age 0 - 1</v>
      </c>
      <c r="F169" s="132" t="str">
        <f>INDEX(Mapping!$Y:$Y,MATCH($B169,Mapping!$W:$W,0))</f>
        <v>Interface</v>
      </c>
      <c r="G169" s="45">
        <v>4567</v>
      </c>
      <c r="H169" s="45">
        <v>4487</v>
      </c>
      <c r="I169" s="45">
        <v>4788</v>
      </c>
      <c r="J169" s="5"/>
      <c r="K169" s="5"/>
      <c r="L169" s="5"/>
      <c r="M169" s="5"/>
    </row>
    <row r="170" spans="2:13" x14ac:dyDescent="0.3">
      <c r="B170" t="s">
        <v>146</v>
      </c>
      <c r="C170" s="3" t="s">
        <v>204</v>
      </c>
      <c r="D170" s="132" t="str">
        <f>VLOOKUP(C170,Mapping!$AB$2:$AC$8,2,FALSE)</f>
        <v>Age 0 - 1</v>
      </c>
      <c r="E170" s="132" t="str">
        <f t="shared" si="12"/>
        <v>Yarra (C)Age 0 - 1</v>
      </c>
      <c r="F170" s="132" t="str">
        <f>INDEX(Mapping!$Y:$Y,MATCH($B170,Mapping!$W:$W,0))</f>
        <v>Metro</v>
      </c>
      <c r="G170" s="45">
        <v>1037</v>
      </c>
      <c r="H170" s="45">
        <v>1081</v>
      </c>
      <c r="I170" s="45">
        <v>1059</v>
      </c>
      <c r="J170" s="5"/>
      <c r="K170" s="5"/>
      <c r="L170" s="5"/>
      <c r="M170" s="5"/>
    </row>
    <row r="171" spans="2:13" x14ac:dyDescent="0.3">
      <c r="B171" t="s">
        <v>129</v>
      </c>
      <c r="C171" s="3" t="s">
        <v>204</v>
      </c>
      <c r="D171" s="132" t="str">
        <f>VLOOKUP(C171,Mapping!$AB$2:$AC$8,2,FALSE)</f>
        <v>Age 0 - 1</v>
      </c>
      <c r="E171" s="132" t="str">
        <f t="shared" si="12"/>
        <v>Yarra Ranges (S)Age 0 - 1</v>
      </c>
      <c r="F171" s="132" t="str">
        <f>INDEX(Mapping!$Y:$Y,MATCH($B171,Mapping!$W:$W,0))</f>
        <v>Interface</v>
      </c>
      <c r="G171" s="45">
        <v>1784</v>
      </c>
      <c r="H171" s="45">
        <v>1808</v>
      </c>
      <c r="I171" s="45">
        <v>1745</v>
      </c>
      <c r="J171" s="5"/>
      <c r="K171" s="5"/>
      <c r="L171" s="5"/>
      <c r="M171" s="5"/>
    </row>
    <row r="172" spans="2:13" x14ac:dyDescent="0.3">
      <c r="B172" t="s">
        <v>189</v>
      </c>
      <c r="C172" s="3" t="s">
        <v>204</v>
      </c>
      <c r="D172" s="132" t="str">
        <f>VLOOKUP(C172,Mapping!$AB$2:$AC$8,2,FALSE)</f>
        <v>Age 0 - 1</v>
      </c>
      <c r="E172" s="132" t="str">
        <f t="shared" si="12"/>
        <v>Yarriambiack (S)Age 0 - 1</v>
      </c>
      <c r="F172" s="132" t="str">
        <f>INDEX(Mapping!$Y:$Y,MATCH($B172,Mapping!$W:$W,0))</f>
        <v>Rural</v>
      </c>
      <c r="G172" s="45">
        <v>67</v>
      </c>
      <c r="H172" s="45">
        <v>63</v>
      </c>
      <c r="I172" s="45">
        <v>70</v>
      </c>
      <c r="J172" s="5"/>
      <c r="K172" s="5"/>
      <c r="L172" s="5"/>
      <c r="M172" s="5"/>
    </row>
    <row r="173" spans="2:13" x14ac:dyDescent="0.3">
      <c r="B173" t="s">
        <v>111</v>
      </c>
      <c r="C173" s="3" t="s">
        <v>205</v>
      </c>
      <c r="D173" s="132" t="str">
        <f>VLOOKUP(C173,Mapping!$AB$2:$AC$8,2,FALSE)</f>
        <v>Age 1 - 2</v>
      </c>
      <c r="E173" s="132" t="str">
        <f t="shared" si="12"/>
        <v>Alpine (S)Age 1 - 2</v>
      </c>
      <c r="F173" s="132" t="str">
        <f>INDEX(Mapping!$Y:$Y,MATCH($B173,Mapping!$W:$W,0))</f>
        <v>Rural</v>
      </c>
      <c r="G173" s="45">
        <v>114</v>
      </c>
      <c r="H173" s="45">
        <v>103</v>
      </c>
      <c r="I173" s="45">
        <v>106</v>
      </c>
      <c r="J173" s="5"/>
      <c r="K173" s="5"/>
      <c r="L173" s="5"/>
      <c r="M173" s="5"/>
    </row>
    <row r="174" spans="2:13" x14ac:dyDescent="0.3">
      <c r="B174" t="s">
        <v>163</v>
      </c>
      <c r="C174" s="3" t="s">
        <v>205</v>
      </c>
      <c r="D174" s="132" t="str">
        <f>VLOOKUP(C174,Mapping!$AB$2:$AC$8,2,FALSE)</f>
        <v>Age 1 - 2</v>
      </c>
      <c r="E174" s="132" t="str">
        <f t="shared" si="12"/>
        <v>Ararat (RC)Age 1 - 2</v>
      </c>
      <c r="F174" s="132" t="str">
        <f>INDEX(Mapping!$Y:$Y,MATCH($B174,Mapping!$W:$W,0))</f>
        <v>Rural</v>
      </c>
      <c r="G174" s="45">
        <v>123</v>
      </c>
      <c r="H174" s="45">
        <v>120</v>
      </c>
      <c r="I174" s="45">
        <v>111</v>
      </c>
      <c r="J174" s="5"/>
      <c r="K174" s="5"/>
      <c r="L174" s="5"/>
      <c r="M174" s="5"/>
    </row>
    <row r="175" spans="2:13" x14ac:dyDescent="0.3">
      <c r="B175" t="s">
        <v>164</v>
      </c>
      <c r="C175" s="3" t="s">
        <v>205</v>
      </c>
      <c r="D175" s="132" t="str">
        <f>VLOOKUP(C175,Mapping!$AB$2:$AC$8,2,FALSE)</f>
        <v>Age 1 - 2</v>
      </c>
      <c r="E175" s="132" t="str">
        <f t="shared" si="12"/>
        <v>Ballarat (C)Age 1 - 2</v>
      </c>
      <c r="F175" s="132" t="str">
        <f>INDEX(Mapping!$Y:$Y,MATCH($B175,Mapping!$W:$W,0))</f>
        <v>Rural</v>
      </c>
      <c r="G175" s="45">
        <v>1326</v>
      </c>
      <c r="H175" s="45">
        <v>1429</v>
      </c>
      <c r="I175" s="45">
        <v>1343</v>
      </c>
      <c r="J175" s="5"/>
      <c r="K175" s="5"/>
      <c r="L175" s="5"/>
      <c r="M175" s="5"/>
    </row>
    <row r="176" spans="2:13" x14ac:dyDescent="0.3">
      <c r="B176" t="s">
        <v>130</v>
      </c>
      <c r="C176" s="3" t="s">
        <v>205</v>
      </c>
      <c r="D176" s="132" t="str">
        <f>VLOOKUP(C176,Mapping!$AB$2:$AC$8,2,FALSE)</f>
        <v>Age 1 - 2</v>
      </c>
      <c r="E176" s="132" t="str">
        <f t="shared" si="12"/>
        <v>Banyule (C)Age 1 - 2</v>
      </c>
      <c r="F176" s="132" t="str">
        <f>INDEX(Mapping!$Y:$Y,MATCH($B176,Mapping!$W:$W,0))</f>
        <v>Metro</v>
      </c>
      <c r="G176" s="45">
        <v>1808</v>
      </c>
      <c r="H176" s="45">
        <v>1681</v>
      </c>
      <c r="I176" s="45">
        <v>1560</v>
      </c>
      <c r="J176" s="5"/>
      <c r="K176" s="5"/>
      <c r="L176" s="5"/>
      <c r="M176" s="5"/>
    </row>
    <row r="177" spans="2:13" x14ac:dyDescent="0.3">
      <c r="B177" t="s">
        <v>147</v>
      </c>
      <c r="C177" s="3" t="s">
        <v>205</v>
      </c>
      <c r="D177" s="132" t="str">
        <f>VLOOKUP(C177,Mapping!$AB$2:$AC$8,2,FALSE)</f>
        <v>Age 1 - 2</v>
      </c>
      <c r="E177" s="132" t="str">
        <f t="shared" si="12"/>
        <v>Bass Coast (S)Age 1 - 2</v>
      </c>
      <c r="F177" s="132" t="str">
        <f>INDEX(Mapping!$Y:$Y,MATCH($B177,Mapping!$W:$W,0))</f>
        <v>Rural</v>
      </c>
      <c r="G177" s="45">
        <v>344</v>
      </c>
      <c r="H177" s="45">
        <v>360</v>
      </c>
      <c r="I177" s="45">
        <v>326</v>
      </c>
      <c r="J177" s="5"/>
      <c r="K177" s="5"/>
      <c r="L177" s="5"/>
      <c r="M177" s="5"/>
    </row>
    <row r="178" spans="2:13" x14ac:dyDescent="0.3">
      <c r="B178" t="s">
        <v>148</v>
      </c>
      <c r="C178" s="3" t="s">
        <v>205</v>
      </c>
      <c r="D178" s="132" t="str">
        <f>VLOOKUP(C178,Mapping!$AB$2:$AC$8,2,FALSE)</f>
        <v>Age 1 - 2</v>
      </c>
      <c r="E178" s="132" t="str">
        <f t="shared" si="12"/>
        <v>Baw Baw (S)Age 1 - 2</v>
      </c>
      <c r="F178" s="132" t="str">
        <f>INDEX(Mapping!$Y:$Y,MATCH($B178,Mapping!$W:$W,0))</f>
        <v>Rural</v>
      </c>
      <c r="G178" s="45">
        <v>604</v>
      </c>
      <c r="H178" s="45">
        <v>657</v>
      </c>
      <c r="I178" s="45">
        <v>636</v>
      </c>
      <c r="J178" s="5"/>
      <c r="K178" s="5"/>
      <c r="L178" s="5"/>
      <c r="M178" s="5"/>
    </row>
    <row r="179" spans="2:13" x14ac:dyDescent="0.3">
      <c r="B179" t="s">
        <v>149</v>
      </c>
      <c r="C179" s="3" t="s">
        <v>205</v>
      </c>
      <c r="D179" s="132" t="str">
        <f>VLOOKUP(C179,Mapping!$AB$2:$AC$8,2,FALSE)</f>
        <v>Age 1 - 2</v>
      </c>
      <c r="E179" s="132" t="str">
        <f t="shared" si="12"/>
        <v>Bayside (C)Age 1 - 2</v>
      </c>
      <c r="F179" s="132" t="str">
        <f>INDEX(Mapping!$Y:$Y,MATCH($B179,Mapping!$W:$W,0))</f>
        <v>Metro</v>
      </c>
      <c r="G179" s="45">
        <v>1057</v>
      </c>
      <c r="H179" s="45">
        <v>995</v>
      </c>
      <c r="I179" s="45">
        <v>973</v>
      </c>
      <c r="J179" s="5"/>
      <c r="K179" s="5"/>
      <c r="L179" s="5"/>
      <c r="M179" s="5"/>
    </row>
    <row r="180" spans="2:13" x14ac:dyDescent="0.3">
      <c r="B180" t="s">
        <v>112</v>
      </c>
      <c r="C180" s="3" t="s">
        <v>205</v>
      </c>
      <c r="D180" s="132" t="str">
        <f>VLOOKUP(C180,Mapping!$AB$2:$AC$8,2,FALSE)</f>
        <v>Age 1 - 2</v>
      </c>
      <c r="E180" s="132" t="str">
        <f t="shared" si="12"/>
        <v>Benalla (RC)Age 1 - 2</v>
      </c>
      <c r="F180" s="132" t="str">
        <f>INDEX(Mapping!$Y:$Y,MATCH($B180,Mapping!$W:$W,0))</f>
        <v>Rural</v>
      </c>
      <c r="G180" s="45">
        <v>128</v>
      </c>
      <c r="H180" s="45">
        <v>143</v>
      </c>
      <c r="I180" s="45">
        <v>127</v>
      </c>
      <c r="J180" s="5"/>
      <c r="K180" s="5"/>
      <c r="L180" s="5"/>
      <c r="M180" s="5"/>
    </row>
    <row r="181" spans="2:13" x14ac:dyDescent="0.3">
      <c r="B181" t="s">
        <v>113</v>
      </c>
      <c r="C181" s="3" t="s">
        <v>205</v>
      </c>
      <c r="D181" s="132" t="str">
        <f>VLOOKUP(C181,Mapping!$AB$2:$AC$8,2,FALSE)</f>
        <v>Age 1 - 2</v>
      </c>
      <c r="E181" s="132" t="str">
        <f t="shared" si="12"/>
        <v>Boroondara (C)Age 1 - 2</v>
      </c>
      <c r="F181" s="132" t="str">
        <f>INDEX(Mapping!$Y:$Y,MATCH($B181,Mapping!$W:$W,0))</f>
        <v>Metro</v>
      </c>
      <c r="G181" s="45">
        <v>1685</v>
      </c>
      <c r="H181" s="45">
        <v>1574</v>
      </c>
      <c r="I181" s="45">
        <v>1480</v>
      </c>
      <c r="J181" s="5"/>
      <c r="K181" s="5"/>
      <c r="L181" s="5"/>
      <c r="M181" s="5"/>
    </row>
    <row r="182" spans="2:13" x14ac:dyDescent="0.3">
      <c r="B182" t="s">
        <v>165</v>
      </c>
      <c r="C182" s="3" t="s">
        <v>205</v>
      </c>
      <c r="D182" s="132" t="str">
        <f>VLOOKUP(C182,Mapping!$AB$2:$AC$8,2,FALSE)</f>
        <v>Age 1 - 2</v>
      </c>
      <c r="E182" s="132" t="str">
        <f t="shared" si="12"/>
        <v>Brimbank (C)Age 1 - 2</v>
      </c>
      <c r="F182" s="132" t="str">
        <f>INDEX(Mapping!$Y:$Y,MATCH($B182,Mapping!$W:$W,0))</f>
        <v>Metro</v>
      </c>
      <c r="G182" s="45">
        <v>3017</v>
      </c>
      <c r="H182" s="45">
        <v>3090</v>
      </c>
      <c r="I182" s="45">
        <v>2896</v>
      </c>
      <c r="J182" s="5"/>
      <c r="K182" s="5"/>
      <c r="L182" s="5"/>
      <c r="M182" s="5"/>
    </row>
    <row r="183" spans="2:13" x14ac:dyDescent="0.3">
      <c r="B183" t="s">
        <v>131</v>
      </c>
      <c r="C183" s="3" t="s">
        <v>205</v>
      </c>
      <c r="D183" s="132" t="str">
        <f>VLOOKUP(C183,Mapping!$AB$2:$AC$8,2,FALSE)</f>
        <v>Age 1 - 2</v>
      </c>
      <c r="E183" s="132" t="str">
        <f t="shared" si="12"/>
        <v>Buloke (S)Age 1 - 2</v>
      </c>
      <c r="F183" s="132" t="str">
        <f>INDEX(Mapping!$Y:$Y,MATCH($B183,Mapping!$W:$W,0))</f>
        <v>Rural</v>
      </c>
      <c r="G183" s="45">
        <v>61</v>
      </c>
      <c r="H183" s="45">
        <v>60</v>
      </c>
      <c r="I183" s="45">
        <v>58</v>
      </c>
      <c r="J183" s="5"/>
      <c r="K183" s="5"/>
      <c r="L183" s="5"/>
      <c r="M183" s="5"/>
    </row>
    <row r="184" spans="2:13" x14ac:dyDescent="0.3">
      <c r="B184" t="s">
        <v>132</v>
      </c>
      <c r="C184" s="3" t="s">
        <v>205</v>
      </c>
      <c r="D184" s="132" t="str">
        <f>VLOOKUP(C184,Mapping!$AB$2:$AC$8,2,FALSE)</f>
        <v>Age 1 - 2</v>
      </c>
      <c r="E184" s="132" t="str">
        <f t="shared" si="12"/>
        <v>Campaspe (S)Age 1 - 2</v>
      </c>
      <c r="F184" s="132" t="str">
        <f>INDEX(Mapping!$Y:$Y,MATCH($B184,Mapping!$W:$W,0))</f>
        <v>Rural</v>
      </c>
      <c r="G184" s="45">
        <v>428</v>
      </c>
      <c r="H184" s="45">
        <v>455</v>
      </c>
      <c r="I184" s="45">
        <v>374</v>
      </c>
      <c r="J184" s="5"/>
      <c r="K184" s="5"/>
      <c r="L184" s="5"/>
      <c r="M184" s="5"/>
    </row>
    <row r="185" spans="2:13" x14ac:dyDescent="0.3">
      <c r="B185" t="s">
        <v>150</v>
      </c>
      <c r="C185" s="3" t="s">
        <v>205</v>
      </c>
      <c r="D185" s="132" t="str">
        <f>VLOOKUP(C185,Mapping!$AB$2:$AC$8,2,FALSE)</f>
        <v>Age 1 - 2</v>
      </c>
      <c r="E185" s="132" t="str">
        <f t="shared" si="12"/>
        <v>Cardinia (S)Age 1 - 2</v>
      </c>
      <c r="F185" s="132" t="str">
        <f>INDEX(Mapping!$Y:$Y,MATCH($B185,Mapping!$W:$W,0))</f>
        <v>Interface</v>
      </c>
      <c r="G185" s="45">
        <v>1661</v>
      </c>
      <c r="H185" s="45">
        <v>1685</v>
      </c>
      <c r="I185" s="45">
        <v>1741</v>
      </c>
      <c r="J185" s="5"/>
      <c r="K185" s="5"/>
      <c r="L185" s="5"/>
      <c r="M185" s="5"/>
    </row>
    <row r="186" spans="2:13" x14ac:dyDescent="0.3">
      <c r="B186" t="s">
        <v>151</v>
      </c>
      <c r="C186" s="3" t="s">
        <v>205</v>
      </c>
      <c r="D186" s="132" t="str">
        <f>VLOOKUP(C186,Mapping!$AB$2:$AC$8,2,FALSE)</f>
        <v>Age 1 - 2</v>
      </c>
      <c r="E186" s="132" t="str">
        <f t="shared" si="12"/>
        <v>Casey (C)Age 1 - 2</v>
      </c>
      <c r="F186" s="132" t="str">
        <f>INDEX(Mapping!$Y:$Y,MATCH($B186,Mapping!$W:$W,0))</f>
        <v>Interface</v>
      </c>
      <c r="G186" s="45">
        <v>4874</v>
      </c>
      <c r="H186" s="45">
        <v>5197</v>
      </c>
      <c r="I186" s="45">
        <v>5399</v>
      </c>
      <c r="J186" s="5"/>
      <c r="K186" s="5"/>
      <c r="L186" s="5"/>
      <c r="M186" s="5"/>
    </row>
    <row r="187" spans="2:13" x14ac:dyDescent="0.3">
      <c r="B187" t="s">
        <v>133</v>
      </c>
      <c r="C187" s="3" t="s">
        <v>205</v>
      </c>
      <c r="D187" s="132" t="str">
        <f>VLOOKUP(C187,Mapping!$AB$2:$AC$8,2,FALSE)</f>
        <v>Age 1 - 2</v>
      </c>
      <c r="E187" s="132" t="str">
        <f t="shared" si="12"/>
        <v>Central Goldfields (S)Age 1 - 2</v>
      </c>
      <c r="F187" s="132" t="str">
        <f>INDEX(Mapping!$Y:$Y,MATCH($B187,Mapping!$W:$W,0))</f>
        <v>Rural</v>
      </c>
      <c r="G187" s="45">
        <v>142</v>
      </c>
      <c r="H187" s="45">
        <v>132</v>
      </c>
      <c r="I187" s="45">
        <v>131</v>
      </c>
      <c r="J187" s="5"/>
      <c r="K187" s="5"/>
      <c r="L187" s="5"/>
      <c r="M187" s="5"/>
    </row>
    <row r="188" spans="2:13" x14ac:dyDescent="0.3">
      <c r="B188" t="s">
        <v>166</v>
      </c>
      <c r="C188" s="3" t="s">
        <v>205</v>
      </c>
      <c r="D188" s="132" t="str">
        <f>VLOOKUP(C188,Mapping!$AB$2:$AC$8,2,FALSE)</f>
        <v>Age 1 - 2</v>
      </c>
      <c r="E188" s="132" t="str">
        <f t="shared" si="12"/>
        <v>Colac-Otway (S)Age 1 - 2</v>
      </c>
      <c r="F188" s="132" t="str">
        <f>INDEX(Mapping!$Y:$Y,MATCH($B188,Mapping!$W:$W,0))</f>
        <v>Rural</v>
      </c>
      <c r="G188" s="45">
        <v>257</v>
      </c>
      <c r="H188" s="45">
        <v>254</v>
      </c>
      <c r="I188" s="45">
        <v>245</v>
      </c>
      <c r="J188" s="5"/>
      <c r="K188" s="5"/>
      <c r="L188" s="5"/>
      <c r="M188" s="5"/>
    </row>
    <row r="189" spans="2:13" x14ac:dyDescent="0.3">
      <c r="B189" t="s">
        <v>167</v>
      </c>
      <c r="C189" s="3" t="s">
        <v>205</v>
      </c>
      <c r="D189" s="132" t="str">
        <f>VLOOKUP(C189,Mapping!$AB$2:$AC$8,2,FALSE)</f>
        <v>Age 1 - 2</v>
      </c>
      <c r="E189" s="132" t="str">
        <f t="shared" si="12"/>
        <v>Corangamite (S)Age 1 - 2</v>
      </c>
      <c r="F189" s="132" t="str">
        <f>INDEX(Mapping!$Y:$Y,MATCH($B189,Mapping!$W:$W,0))</f>
        <v>Rural</v>
      </c>
      <c r="G189" s="45">
        <v>212</v>
      </c>
      <c r="H189" s="45">
        <v>153</v>
      </c>
      <c r="I189" s="45">
        <v>144</v>
      </c>
      <c r="J189" s="5"/>
      <c r="K189" s="5"/>
      <c r="L189" s="5"/>
      <c r="M189" s="5"/>
    </row>
    <row r="190" spans="2:13" x14ac:dyDescent="0.3">
      <c r="B190" t="s">
        <v>134</v>
      </c>
      <c r="C190" s="3" t="s">
        <v>205</v>
      </c>
      <c r="D190" s="132" t="str">
        <f>VLOOKUP(C190,Mapping!$AB$2:$AC$8,2,FALSE)</f>
        <v>Age 1 - 2</v>
      </c>
      <c r="E190" s="132" t="str">
        <f t="shared" si="12"/>
        <v>Darebin (C)Age 1 - 2</v>
      </c>
      <c r="F190" s="132" t="str">
        <f>INDEX(Mapping!$Y:$Y,MATCH($B190,Mapping!$W:$W,0))</f>
        <v>Metro</v>
      </c>
      <c r="G190" s="45">
        <v>2112</v>
      </c>
      <c r="H190" s="45">
        <v>1838</v>
      </c>
      <c r="I190" s="45">
        <v>1780</v>
      </c>
      <c r="J190" s="5"/>
      <c r="K190" s="5"/>
      <c r="L190" s="5"/>
      <c r="M190" s="5"/>
    </row>
    <row r="191" spans="2:13" x14ac:dyDescent="0.3">
      <c r="B191" t="s">
        <v>152</v>
      </c>
      <c r="C191" s="3" t="s">
        <v>205</v>
      </c>
      <c r="D191" s="132" t="str">
        <f>VLOOKUP(C191,Mapping!$AB$2:$AC$8,2,FALSE)</f>
        <v>Age 1 - 2</v>
      </c>
      <c r="E191" s="132" t="str">
        <f t="shared" si="12"/>
        <v>East Gippsland (S)Age 1 - 2</v>
      </c>
      <c r="F191" s="132" t="str">
        <f>INDEX(Mapping!$Y:$Y,MATCH($B191,Mapping!$W:$W,0))</f>
        <v>Rural</v>
      </c>
      <c r="G191" s="45">
        <v>471</v>
      </c>
      <c r="H191" s="45">
        <v>513</v>
      </c>
      <c r="I191" s="45">
        <v>439</v>
      </c>
      <c r="J191" s="5"/>
      <c r="K191" s="5"/>
      <c r="L191" s="5"/>
      <c r="M191" s="5"/>
    </row>
    <row r="192" spans="2:13" x14ac:dyDescent="0.3">
      <c r="B192" t="s">
        <v>153</v>
      </c>
      <c r="C192" s="3" t="s">
        <v>205</v>
      </c>
      <c r="D192" s="132" t="str">
        <f>VLOOKUP(C192,Mapping!$AB$2:$AC$8,2,FALSE)</f>
        <v>Age 1 - 2</v>
      </c>
      <c r="E192" s="132" t="str">
        <f t="shared" si="12"/>
        <v>Frankston (C)Age 1 - 2</v>
      </c>
      <c r="F192" s="132" t="str">
        <f>INDEX(Mapping!$Y:$Y,MATCH($B192,Mapping!$W:$W,0))</f>
        <v>Metro</v>
      </c>
      <c r="G192" s="45">
        <v>2109</v>
      </c>
      <c r="H192" s="45">
        <v>2043</v>
      </c>
      <c r="I192" s="45">
        <v>1979</v>
      </c>
      <c r="J192" s="5"/>
      <c r="K192" s="5"/>
      <c r="L192" s="5"/>
      <c r="M192" s="5"/>
    </row>
    <row r="193" spans="2:13" x14ac:dyDescent="0.3">
      <c r="B193" t="s">
        <v>135</v>
      </c>
      <c r="C193" s="3" t="s">
        <v>205</v>
      </c>
      <c r="D193" s="132" t="str">
        <f>VLOOKUP(C193,Mapping!$AB$2:$AC$8,2,FALSE)</f>
        <v>Age 1 - 2</v>
      </c>
      <c r="E193" s="132" t="str">
        <f t="shared" si="12"/>
        <v>Gannawarra (S)Age 1 - 2</v>
      </c>
      <c r="F193" s="132" t="str">
        <f>INDEX(Mapping!$Y:$Y,MATCH($B193,Mapping!$W:$W,0))</f>
        <v>Rural</v>
      </c>
      <c r="G193" s="45">
        <v>104</v>
      </c>
      <c r="H193" s="45">
        <v>114</v>
      </c>
      <c r="I193" s="45">
        <v>99</v>
      </c>
      <c r="J193" s="5"/>
      <c r="K193" s="5"/>
      <c r="L193" s="5"/>
      <c r="M193" s="5"/>
    </row>
    <row r="194" spans="2:13" x14ac:dyDescent="0.3">
      <c r="B194" t="s">
        <v>154</v>
      </c>
      <c r="C194" s="3" t="s">
        <v>205</v>
      </c>
      <c r="D194" s="132" t="str">
        <f>VLOOKUP(C194,Mapping!$AB$2:$AC$8,2,FALSE)</f>
        <v>Age 1 - 2</v>
      </c>
      <c r="E194" s="132" t="str">
        <f t="shared" si="12"/>
        <v>Glen Eira (C)Age 1 - 2</v>
      </c>
      <c r="F194" s="132" t="str">
        <f>INDEX(Mapping!$Y:$Y,MATCH($B194,Mapping!$W:$W,0))</f>
        <v>Metro</v>
      </c>
      <c r="G194" s="45">
        <v>1754</v>
      </c>
      <c r="H194" s="45">
        <v>1837</v>
      </c>
      <c r="I194" s="45">
        <v>1658</v>
      </c>
      <c r="J194" s="5"/>
      <c r="K194" s="5"/>
      <c r="L194" s="5"/>
      <c r="M194" s="5"/>
    </row>
    <row r="195" spans="2:13" x14ac:dyDescent="0.3">
      <c r="B195" t="s">
        <v>168</v>
      </c>
      <c r="C195" s="3" t="s">
        <v>205</v>
      </c>
      <c r="D195" s="132" t="str">
        <f>VLOOKUP(C195,Mapping!$AB$2:$AC$8,2,FALSE)</f>
        <v>Age 1 - 2</v>
      </c>
      <c r="E195" s="132" t="str">
        <f t="shared" si="12"/>
        <v>Glenelg (S)Age 1 - 2</v>
      </c>
      <c r="F195" s="132" t="str">
        <f>INDEX(Mapping!$Y:$Y,MATCH($B195,Mapping!$W:$W,0))</f>
        <v>Rural</v>
      </c>
      <c r="G195" s="45">
        <v>222</v>
      </c>
      <c r="H195" s="45">
        <v>217</v>
      </c>
      <c r="I195" s="45">
        <v>162</v>
      </c>
      <c r="J195" s="5"/>
      <c r="K195" s="5"/>
      <c r="L195" s="5"/>
      <c r="M195" s="5"/>
    </row>
    <row r="196" spans="2:13" x14ac:dyDescent="0.3">
      <c r="B196" t="s">
        <v>169</v>
      </c>
      <c r="C196" s="3" t="s">
        <v>205</v>
      </c>
      <c r="D196" s="132" t="str">
        <f>VLOOKUP(C196,Mapping!$AB$2:$AC$8,2,FALSE)</f>
        <v>Age 1 - 2</v>
      </c>
      <c r="E196" s="132" t="str">
        <f t="shared" si="12"/>
        <v>Golden Plains (S)Age 1 - 2</v>
      </c>
      <c r="F196" s="132" t="str">
        <f>INDEX(Mapping!$Y:$Y,MATCH($B196,Mapping!$W:$W,0))</f>
        <v>Rural</v>
      </c>
      <c r="G196" s="45">
        <v>267</v>
      </c>
      <c r="H196" s="45">
        <v>261</v>
      </c>
      <c r="I196" s="45">
        <v>225</v>
      </c>
      <c r="J196" s="5"/>
      <c r="K196" s="5"/>
      <c r="L196" s="5"/>
      <c r="M196" s="5"/>
    </row>
    <row r="197" spans="2:13" x14ac:dyDescent="0.3">
      <c r="B197" t="s">
        <v>136</v>
      </c>
      <c r="C197" s="3" t="s">
        <v>205</v>
      </c>
      <c r="D197" s="132" t="str">
        <f>VLOOKUP(C197,Mapping!$AB$2:$AC$8,2,FALSE)</f>
        <v>Age 1 - 2</v>
      </c>
      <c r="E197" s="132" t="str">
        <f t="shared" si="12"/>
        <v>Greater Bendigo (C)Age 1 - 2</v>
      </c>
      <c r="F197" s="132" t="str">
        <f>INDEX(Mapping!$Y:$Y,MATCH($B197,Mapping!$W:$W,0))</f>
        <v>Rural</v>
      </c>
      <c r="G197" s="45">
        <v>1460</v>
      </c>
      <c r="H197" s="45">
        <v>1472</v>
      </c>
      <c r="I197" s="45">
        <v>1469</v>
      </c>
      <c r="J197" s="5"/>
      <c r="K197" s="5"/>
      <c r="L197" s="5"/>
      <c r="M197" s="5"/>
    </row>
    <row r="198" spans="2:13" x14ac:dyDescent="0.3">
      <c r="B198" t="s">
        <v>155</v>
      </c>
      <c r="C198" s="3" t="s">
        <v>205</v>
      </c>
      <c r="D198" s="132" t="str">
        <f>VLOOKUP(C198,Mapping!$AB$2:$AC$8,2,FALSE)</f>
        <v>Age 1 - 2</v>
      </c>
      <c r="E198" s="132" t="str">
        <f t="shared" si="12"/>
        <v>Greater Dandenong (C)Age 1 - 2</v>
      </c>
      <c r="F198" s="132" t="str">
        <f>INDEX(Mapping!$Y:$Y,MATCH($B198,Mapping!$W:$W,0))</f>
        <v>Metro</v>
      </c>
      <c r="G198" s="45">
        <v>2709</v>
      </c>
      <c r="H198" s="45">
        <v>2395</v>
      </c>
      <c r="I198" s="45">
        <v>2297</v>
      </c>
      <c r="J198" s="5"/>
      <c r="K198" s="5"/>
      <c r="L198" s="5"/>
      <c r="M198" s="5"/>
    </row>
    <row r="199" spans="2:13" x14ac:dyDescent="0.3">
      <c r="B199" t="s">
        <v>170</v>
      </c>
      <c r="C199" s="3" t="s">
        <v>205</v>
      </c>
      <c r="D199" s="132" t="str">
        <f>VLOOKUP(C199,Mapping!$AB$2:$AC$8,2,FALSE)</f>
        <v>Age 1 - 2</v>
      </c>
      <c r="E199" s="132" t="str">
        <f t="shared" si="12"/>
        <v>Greater Geelong (C)Age 1 - 2</v>
      </c>
      <c r="F199" s="132" t="str">
        <f>INDEX(Mapping!$Y:$Y,MATCH($B199,Mapping!$W:$W,0))</f>
        <v>Rural</v>
      </c>
      <c r="G199" s="45">
        <v>3038</v>
      </c>
      <c r="H199" s="45">
        <v>2939</v>
      </c>
      <c r="I199" s="45">
        <v>2960</v>
      </c>
      <c r="J199" s="5"/>
      <c r="K199" s="5"/>
      <c r="L199" s="5"/>
      <c r="M199" s="5"/>
    </row>
    <row r="200" spans="2:13" x14ac:dyDescent="0.3">
      <c r="B200" t="s">
        <v>114</v>
      </c>
      <c r="C200" s="3" t="s">
        <v>205</v>
      </c>
      <c r="D200" s="132" t="str">
        <f>VLOOKUP(C200,Mapping!$AB$2:$AC$8,2,FALSE)</f>
        <v>Age 1 - 2</v>
      </c>
      <c r="E200" s="132" t="str">
        <f t="shared" si="12"/>
        <v>Greater Shepparton (C)Age 1 - 2</v>
      </c>
      <c r="F200" s="132" t="str">
        <f>INDEX(Mapping!$Y:$Y,MATCH($B200,Mapping!$W:$W,0))</f>
        <v>Rural</v>
      </c>
      <c r="G200" s="45">
        <v>942</v>
      </c>
      <c r="H200" s="45">
        <v>911</v>
      </c>
      <c r="I200" s="45">
        <v>851</v>
      </c>
      <c r="J200" s="5"/>
      <c r="K200" s="5"/>
      <c r="L200" s="5"/>
      <c r="M200" s="5"/>
    </row>
    <row r="201" spans="2:13" x14ac:dyDescent="0.3">
      <c r="B201" t="s">
        <v>171</v>
      </c>
      <c r="C201" s="3" t="s">
        <v>205</v>
      </c>
      <c r="D201" s="132" t="str">
        <f>VLOOKUP(C201,Mapping!$AB$2:$AC$8,2,FALSE)</f>
        <v>Age 1 - 2</v>
      </c>
      <c r="E201" s="132" t="str">
        <f t="shared" si="12"/>
        <v>Hepburn (S)Age 1 - 2</v>
      </c>
      <c r="F201" s="132" t="str">
        <f>INDEX(Mapping!$Y:$Y,MATCH($B201,Mapping!$W:$W,0))</f>
        <v>Rural</v>
      </c>
      <c r="G201" s="45">
        <v>131</v>
      </c>
      <c r="H201" s="45">
        <v>126</v>
      </c>
      <c r="I201" s="45">
        <v>137</v>
      </c>
      <c r="J201" s="5"/>
      <c r="K201" s="5"/>
      <c r="L201" s="5"/>
      <c r="M201" s="5"/>
    </row>
    <row r="202" spans="2:13" x14ac:dyDescent="0.3">
      <c r="B202" t="s">
        <v>172</v>
      </c>
      <c r="C202" s="3" t="s">
        <v>205</v>
      </c>
      <c r="D202" s="132" t="str">
        <f>VLOOKUP(C202,Mapping!$AB$2:$AC$8,2,FALSE)</f>
        <v>Age 1 - 2</v>
      </c>
      <c r="E202" s="132" t="str">
        <f t="shared" si="12"/>
        <v>Hindmarsh (S)Age 1 - 2</v>
      </c>
      <c r="F202" s="132" t="str">
        <f>INDEX(Mapping!$Y:$Y,MATCH($B202,Mapping!$W:$W,0))</f>
        <v>Rural</v>
      </c>
      <c r="G202" s="45">
        <v>56</v>
      </c>
      <c r="H202" s="45">
        <v>60</v>
      </c>
      <c r="I202" s="45">
        <v>61</v>
      </c>
      <c r="J202" s="5"/>
      <c r="K202" s="5"/>
      <c r="L202" s="5"/>
      <c r="M202" s="5"/>
    </row>
    <row r="203" spans="2:13" x14ac:dyDescent="0.3">
      <c r="B203" t="s">
        <v>173</v>
      </c>
      <c r="C203" s="3" t="s">
        <v>205</v>
      </c>
      <c r="D203" s="132" t="str">
        <f>VLOOKUP(C203,Mapping!$AB$2:$AC$8,2,FALSE)</f>
        <v>Age 1 - 2</v>
      </c>
      <c r="E203" s="132" t="str">
        <f t="shared" si="12"/>
        <v>Hobsons Bay (C)Age 1 - 2</v>
      </c>
      <c r="F203" s="132" t="str">
        <f>INDEX(Mapping!$Y:$Y,MATCH($B203,Mapping!$W:$W,0))</f>
        <v>Metro</v>
      </c>
      <c r="G203" s="45">
        <v>1318</v>
      </c>
      <c r="H203" s="45">
        <v>1422</v>
      </c>
      <c r="I203" s="45">
        <v>1247</v>
      </c>
      <c r="J203" s="5"/>
      <c r="K203" s="5"/>
      <c r="L203" s="5"/>
      <c r="M203" s="5"/>
    </row>
    <row r="204" spans="2:13" x14ac:dyDescent="0.3">
      <c r="B204" t="s">
        <v>174</v>
      </c>
      <c r="C204" s="3" t="s">
        <v>205</v>
      </c>
      <c r="D204" s="132" t="str">
        <f>VLOOKUP(C204,Mapping!$AB$2:$AC$8,2,FALSE)</f>
        <v>Age 1 - 2</v>
      </c>
      <c r="E204" s="132" t="str">
        <f t="shared" si="12"/>
        <v>Horsham (RC)Age 1 - 2</v>
      </c>
      <c r="F204" s="132" t="str">
        <f>INDEX(Mapping!$Y:$Y,MATCH($B204,Mapping!$W:$W,0))</f>
        <v>Rural</v>
      </c>
      <c r="G204" s="45">
        <v>263</v>
      </c>
      <c r="H204" s="45">
        <v>265</v>
      </c>
      <c r="I204" s="45">
        <v>221</v>
      </c>
      <c r="J204" s="5"/>
      <c r="K204" s="5"/>
      <c r="L204" s="5"/>
      <c r="M204" s="5"/>
    </row>
    <row r="205" spans="2:13" x14ac:dyDescent="0.3">
      <c r="B205" t="s">
        <v>137</v>
      </c>
      <c r="C205" s="3" t="s">
        <v>205</v>
      </c>
      <c r="D205" s="132" t="str">
        <f>VLOOKUP(C205,Mapping!$AB$2:$AC$8,2,FALSE)</f>
        <v>Age 1 - 2</v>
      </c>
      <c r="E205" s="132" t="str">
        <f t="shared" si="12"/>
        <v>Hume (C)Age 1 - 2</v>
      </c>
      <c r="F205" s="132" t="str">
        <f>INDEX(Mapping!$Y:$Y,MATCH($B205,Mapping!$W:$W,0))</f>
        <v>Interface</v>
      </c>
      <c r="G205" s="45">
        <v>3195</v>
      </c>
      <c r="H205" s="45">
        <v>3447</v>
      </c>
      <c r="I205" s="45">
        <v>3433</v>
      </c>
      <c r="J205" s="5"/>
      <c r="K205" s="5"/>
      <c r="L205" s="5"/>
      <c r="M205" s="5"/>
    </row>
    <row r="206" spans="2:13" x14ac:dyDescent="0.3">
      <c r="B206" t="s">
        <v>115</v>
      </c>
      <c r="C206" s="3" t="s">
        <v>205</v>
      </c>
      <c r="D206" s="132" t="str">
        <f>VLOOKUP(C206,Mapping!$AB$2:$AC$8,2,FALSE)</f>
        <v>Age 1 - 2</v>
      </c>
      <c r="E206" s="132" t="str">
        <f t="shared" si="12"/>
        <v>Indigo (S)Age 1 - 2</v>
      </c>
      <c r="F206" s="132" t="str">
        <f>INDEX(Mapping!$Y:$Y,MATCH($B206,Mapping!$W:$W,0))</f>
        <v>Rural</v>
      </c>
      <c r="G206" s="45">
        <v>147</v>
      </c>
      <c r="H206" s="45">
        <v>137</v>
      </c>
      <c r="I206" s="45">
        <v>121</v>
      </c>
      <c r="J206" s="5"/>
      <c r="K206" s="5"/>
      <c r="L206" s="5"/>
      <c r="M206" s="5"/>
    </row>
    <row r="207" spans="2:13" x14ac:dyDescent="0.3">
      <c r="B207" t="s">
        <v>156</v>
      </c>
      <c r="C207" s="3" t="s">
        <v>205</v>
      </c>
      <c r="D207" s="132" t="str">
        <f>VLOOKUP(C207,Mapping!$AB$2:$AC$8,2,FALSE)</f>
        <v>Age 1 - 2</v>
      </c>
      <c r="E207" s="132" t="str">
        <f t="shared" si="12"/>
        <v>Kingston (C)Age 1 - 2</v>
      </c>
      <c r="F207" s="132" t="str">
        <f>INDEX(Mapping!$Y:$Y,MATCH($B207,Mapping!$W:$W,0))</f>
        <v>Metro</v>
      </c>
      <c r="G207" s="45">
        <v>1982</v>
      </c>
      <c r="H207" s="45">
        <v>2033</v>
      </c>
      <c r="I207" s="45">
        <v>1896</v>
      </c>
      <c r="J207" s="5"/>
      <c r="K207" s="5"/>
      <c r="L207" s="5"/>
      <c r="M207" s="5"/>
    </row>
    <row r="208" spans="2:13" x14ac:dyDescent="0.3">
      <c r="B208" t="s">
        <v>116</v>
      </c>
      <c r="C208" s="3" t="s">
        <v>205</v>
      </c>
      <c r="D208" s="132" t="str">
        <f>VLOOKUP(C208,Mapping!$AB$2:$AC$8,2,FALSE)</f>
        <v>Age 1 - 2</v>
      </c>
      <c r="E208" s="132" t="str">
        <f t="shared" ref="E208:E271" si="13">B208&amp;D208</f>
        <v>Knox (C)Age 1 - 2</v>
      </c>
      <c r="F208" s="132" t="str">
        <f>INDEX(Mapping!$Y:$Y,MATCH($B208,Mapping!$W:$W,0))</f>
        <v>Metro</v>
      </c>
      <c r="G208" s="45">
        <v>1916</v>
      </c>
      <c r="H208" s="45">
        <v>1830</v>
      </c>
      <c r="I208" s="45">
        <v>1859</v>
      </c>
      <c r="J208" s="5"/>
      <c r="K208" s="5"/>
      <c r="L208" s="5"/>
      <c r="M208" s="5"/>
    </row>
    <row r="209" spans="2:13" x14ac:dyDescent="0.3">
      <c r="B209" t="s">
        <v>157</v>
      </c>
      <c r="C209" s="3" t="s">
        <v>205</v>
      </c>
      <c r="D209" s="132" t="str">
        <f>VLOOKUP(C209,Mapping!$AB$2:$AC$8,2,FALSE)</f>
        <v>Age 1 - 2</v>
      </c>
      <c r="E209" s="132" t="str">
        <f t="shared" si="13"/>
        <v>Latrobe (C)Age 1 - 2</v>
      </c>
      <c r="F209" s="132" t="str">
        <f>INDEX(Mapping!$Y:$Y,MATCH($B209,Mapping!$W:$W,0))</f>
        <v>Rural</v>
      </c>
      <c r="G209" s="45">
        <v>961</v>
      </c>
      <c r="H209" s="45">
        <v>983</v>
      </c>
      <c r="I209" s="45">
        <v>921</v>
      </c>
      <c r="J209" s="5"/>
      <c r="K209" s="5"/>
      <c r="L209" s="5"/>
      <c r="M209" s="5"/>
    </row>
    <row r="210" spans="2:13" x14ac:dyDescent="0.3">
      <c r="B210" t="s">
        <v>138</v>
      </c>
      <c r="C210" s="3" t="s">
        <v>205</v>
      </c>
      <c r="D210" s="132" t="str">
        <f>VLOOKUP(C210,Mapping!$AB$2:$AC$8,2,FALSE)</f>
        <v>Age 1 - 2</v>
      </c>
      <c r="E210" s="132" t="str">
        <f t="shared" si="13"/>
        <v>Loddon (S)Age 1 - 2</v>
      </c>
      <c r="F210" s="132" t="str">
        <f>INDEX(Mapping!$Y:$Y,MATCH($B210,Mapping!$W:$W,0))</f>
        <v>Rural</v>
      </c>
      <c r="G210" s="45">
        <v>68</v>
      </c>
      <c r="H210" s="45">
        <v>72</v>
      </c>
      <c r="I210" s="45">
        <v>60</v>
      </c>
      <c r="J210" s="5"/>
      <c r="K210" s="5"/>
      <c r="L210" s="5"/>
      <c r="M210" s="5"/>
    </row>
    <row r="211" spans="2:13" x14ac:dyDescent="0.3">
      <c r="B211" t="s">
        <v>139</v>
      </c>
      <c r="C211" s="3" t="s">
        <v>205</v>
      </c>
      <c r="D211" s="132" t="str">
        <f>VLOOKUP(C211,Mapping!$AB$2:$AC$8,2,FALSE)</f>
        <v>Age 1 - 2</v>
      </c>
      <c r="E211" s="132" t="str">
        <f t="shared" si="13"/>
        <v>Macedon Ranges (S)Age 1 - 2</v>
      </c>
      <c r="F211" s="132" t="str">
        <f>INDEX(Mapping!$Y:$Y,MATCH($B211,Mapping!$W:$W,0))</f>
        <v>Rural</v>
      </c>
      <c r="G211" s="45">
        <v>543</v>
      </c>
      <c r="H211" s="45">
        <v>570</v>
      </c>
      <c r="I211" s="45">
        <v>562</v>
      </c>
      <c r="J211" s="5"/>
      <c r="K211" s="5"/>
      <c r="L211" s="5"/>
      <c r="M211" s="5"/>
    </row>
    <row r="212" spans="2:13" x14ac:dyDescent="0.3">
      <c r="B212" t="s">
        <v>117</v>
      </c>
      <c r="C212" s="3" t="s">
        <v>205</v>
      </c>
      <c r="D212" s="132" t="str">
        <f>VLOOKUP(C212,Mapping!$AB$2:$AC$8,2,FALSE)</f>
        <v>Age 1 - 2</v>
      </c>
      <c r="E212" s="132" t="str">
        <f t="shared" si="13"/>
        <v>Manningham (C)Age 1 - 2</v>
      </c>
      <c r="F212" s="132" t="str">
        <f>INDEX(Mapping!$Y:$Y,MATCH($B212,Mapping!$W:$W,0))</f>
        <v>Metro</v>
      </c>
      <c r="G212" s="45">
        <v>1168</v>
      </c>
      <c r="H212" s="45">
        <v>1095</v>
      </c>
      <c r="I212" s="45">
        <v>1161</v>
      </c>
      <c r="J212" s="5"/>
      <c r="K212" s="5"/>
      <c r="L212" s="5"/>
      <c r="M212" s="5"/>
    </row>
    <row r="213" spans="2:13" x14ac:dyDescent="0.3">
      <c r="B213" t="s">
        <v>118</v>
      </c>
      <c r="C213" s="3" t="s">
        <v>205</v>
      </c>
      <c r="D213" s="132" t="str">
        <f>VLOOKUP(C213,Mapping!$AB$2:$AC$8,2,FALSE)</f>
        <v>Age 1 - 2</v>
      </c>
      <c r="E213" s="132" t="str">
        <f t="shared" si="13"/>
        <v>Mansfield (S)Age 1 - 2</v>
      </c>
      <c r="F213" s="132" t="str">
        <f>INDEX(Mapping!$Y:$Y,MATCH($B213,Mapping!$W:$W,0))</f>
        <v>Rural</v>
      </c>
      <c r="G213" s="45">
        <v>95</v>
      </c>
      <c r="H213" s="45">
        <v>78</v>
      </c>
      <c r="I213" s="45">
        <v>88</v>
      </c>
      <c r="J213" s="5"/>
      <c r="K213" s="5"/>
      <c r="L213" s="5"/>
      <c r="M213" s="5"/>
    </row>
    <row r="214" spans="2:13" x14ac:dyDescent="0.3">
      <c r="B214" t="s">
        <v>175</v>
      </c>
      <c r="C214" s="3" t="s">
        <v>205</v>
      </c>
      <c r="D214" s="132" t="str">
        <f>VLOOKUP(C214,Mapping!$AB$2:$AC$8,2,FALSE)</f>
        <v>Age 1 - 2</v>
      </c>
      <c r="E214" s="132" t="str">
        <f t="shared" si="13"/>
        <v>Maribyrnong (C)Age 1 - 2</v>
      </c>
      <c r="F214" s="132" t="str">
        <f>INDEX(Mapping!$Y:$Y,MATCH($B214,Mapping!$W:$W,0))</f>
        <v>Metro</v>
      </c>
      <c r="G214" s="45">
        <v>1379</v>
      </c>
      <c r="H214" s="45">
        <v>1319</v>
      </c>
      <c r="I214" s="45">
        <v>1236</v>
      </c>
      <c r="J214" s="5"/>
      <c r="K214" s="5"/>
      <c r="L214" s="5"/>
      <c r="M214" s="5"/>
    </row>
    <row r="215" spans="2:13" x14ac:dyDescent="0.3">
      <c r="B215" t="s">
        <v>119</v>
      </c>
      <c r="C215" s="3" t="s">
        <v>205</v>
      </c>
      <c r="D215" s="132" t="str">
        <f>VLOOKUP(C215,Mapping!$AB$2:$AC$8,2,FALSE)</f>
        <v>Age 1 - 2</v>
      </c>
      <c r="E215" s="132" t="str">
        <f t="shared" si="13"/>
        <v>Maroondah (C)Age 1 - 2</v>
      </c>
      <c r="F215" s="132" t="str">
        <f>INDEX(Mapping!$Y:$Y,MATCH($B215,Mapping!$W:$W,0))</f>
        <v>Metro</v>
      </c>
      <c r="G215" s="45">
        <v>1581</v>
      </c>
      <c r="H215" s="45">
        <v>1615</v>
      </c>
      <c r="I215" s="45">
        <v>1506</v>
      </c>
      <c r="J215" s="5"/>
      <c r="K215" s="5"/>
      <c r="L215" s="5"/>
      <c r="M215" s="5"/>
    </row>
    <row r="216" spans="2:13" x14ac:dyDescent="0.3">
      <c r="B216" t="s">
        <v>176</v>
      </c>
      <c r="C216" s="3" t="s">
        <v>205</v>
      </c>
      <c r="D216" s="132" t="str">
        <f>VLOOKUP(C216,Mapping!$AB$2:$AC$8,2,FALSE)</f>
        <v>Age 1 - 2</v>
      </c>
      <c r="E216" s="132" t="str">
        <f t="shared" si="13"/>
        <v>Melbourne (C)Age 1 - 2</v>
      </c>
      <c r="F216" s="132" t="str">
        <f>INDEX(Mapping!$Y:$Y,MATCH($B216,Mapping!$W:$W,0))</f>
        <v>Metro</v>
      </c>
      <c r="G216" s="45">
        <v>1148</v>
      </c>
      <c r="H216" s="45">
        <v>1291</v>
      </c>
      <c r="I216" s="45">
        <v>1173</v>
      </c>
      <c r="J216" s="5"/>
      <c r="K216" s="5"/>
      <c r="L216" s="5"/>
      <c r="M216" s="5"/>
    </row>
    <row r="217" spans="2:13" x14ac:dyDescent="0.3">
      <c r="B217" t="s">
        <v>177</v>
      </c>
      <c r="C217" s="3" t="s">
        <v>205</v>
      </c>
      <c r="D217" s="132" t="str">
        <f>VLOOKUP(C217,Mapping!$AB$2:$AC$8,2,FALSE)</f>
        <v>Age 1 - 2</v>
      </c>
      <c r="E217" s="132" t="str">
        <f t="shared" si="13"/>
        <v>Melton (C)Age 1 - 2</v>
      </c>
      <c r="F217" s="132" t="str">
        <f>INDEX(Mapping!$Y:$Y,MATCH($B217,Mapping!$W:$W,0))</f>
        <v>Interface</v>
      </c>
      <c r="G217" s="45">
        <v>2321</v>
      </c>
      <c r="H217" s="45">
        <v>2442</v>
      </c>
      <c r="I217" s="45">
        <v>2433</v>
      </c>
      <c r="J217" s="5"/>
      <c r="K217" s="5"/>
      <c r="L217" s="5"/>
      <c r="M217" s="5"/>
    </row>
    <row r="218" spans="2:13" x14ac:dyDescent="0.3">
      <c r="B218" t="s">
        <v>140</v>
      </c>
      <c r="C218" s="3" t="s">
        <v>205</v>
      </c>
      <c r="D218" s="132" t="str">
        <f>VLOOKUP(C218,Mapping!$AB$2:$AC$8,2,FALSE)</f>
        <v>Age 1 - 2</v>
      </c>
      <c r="E218" s="132" t="str">
        <f t="shared" si="13"/>
        <v>Mildura (RC)Age 1 - 2</v>
      </c>
      <c r="F218" s="132" t="str">
        <f>INDEX(Mapping!$Y:$Y,MATCH($B218,Mapping!$W:$W,0))</f>
        <v>Rural</v>
      </c>
      <c r="G218" s="45">
        <v>658</v>
      </c>
      <c r="H218" s="45">
        <v>706</v>
      </c>
      <c r="I218" s="45">
        <v>729</v>
      </c>
      <c r="J218" s="5"/>
      <c r="K218" s="5"/>
      <c r="L218" s="5"/>
      <c r="M218" s="5"/>
    </row>
    <row r="219" spans="2:13" x14ac:dyDescent="0.3">
      <c r="B219" t="s">
        <v>120</v>
      </c>
      <c r="C219" s="3" t="s">
        <v>205</v>
      </c>
      <c r="D219" s="132" t="str">
        <f>VLOOKUP(C219,Mapping!$AB$2:$AC$8,2,FALSE)</f>
        <v>Age 1 - 2</v>
      </c>
      <c r="E219" s="132" t="str">
        <f t="shared" si="13"/>
        <v>Mitchell (S)Age 1 - 2</v>
      </c>
      <c r="F219" s="132" t="str">
        <f>INDEX(Mapping!$Y:$Y,MATCH($B219,Mapping!$W:$W,0))</f>
        <v>Interface</v>
      </c>
      <c r="G219" s="45">
        <v>634</v>
      </c>
      <c r="H219" s="45">
        <v>566</v>
      </c>
      <c r="I219" s="45">
        <v>576</v>
      </c>
      <c r="J219" s="5"/>
      <c r="K219" s="5"/>
      <c r="L219" s="5"/>
      <c r="M219" s="5"/>
    </row>
    <row r="220" spans="2:13" x14ac:dyDescent="0.3">
      <c r="B220" t="s">
        <v>121</v>
      </c>
      <c r="C220" s="3" t="s">
        <v>205</v>
      </c>
      <c r="D220" s="132" t="str">
        <f>VLOOKUP(C220,Mapping!$AB$2:$AC$8,2,FALSE)</f>
        <v>Age 1 - 2</v>
      </c>
      <c r="E220" s="132" t="str">
        <f t="shared" si="13"/>
        <v>Moira (S)Age 1 - 2</v>
      </c>
      <c r="F220" s="132" t="str">
        <f>INDEX(Mapping!$Y:$Y,MATCH($B220,Mapping!$W:$W,0))</f>
        <v>Rural</v>
      </c>
      <c r="G220" s="45">
        <v>387</v>
      </c>
      <c r="H220" s="45">
        <v>368</v>
      </c>
      <c r="I220" s="45">
        <v>360</v>
      </c>
      <c r="J220" s="5"/>
      <c r="K220" s="5"/>
      <c r="L220" s="5"/>
      <c r="M220" s="5"/>
    </row>
    <row r="221" spans="2:13" x14ac:dyDescent="0.3">
      <c r="B221" t="s">
        <v>122</v>
      </c>
      <c r="C221" s="3" t="s">
        <v>205</v>
      </c>
      <c r="D221" s="132" t="str">
        <f>VLOOKUP(C221,Mapping!$AB$2:$AC$8,2,FALSE)</f>
        <v>Age 1 - 2</v>
      </c>
      <c r="E221" s="132" t="str">
        <f t="shared" si="13"/>
        <v>Monash (C)Age 1 - 2</v>
      </c>
      <c r="F221" s="132" t="str">
        <f>INDEX(Mapping!$Y:$Y,MATCH($B221,Mapping!$W:$W,0))</f>
        <v>Metro</v>
      </c>
      <c r="G221" s="45">
        <v>1943</v>
      </c>
      <c r="H221" s="45">
        <v>1985</v>
      </c>
      <c r="I221" s="45">
        <v>1836</v>
      </c>
      <c r="J221" s="5"/>
      <c r="K221" s="5"/>
      <c r="L221" s="5"/>
      <c r="M221" s="5"/>
    </row>
    <row r="222" spans="2:13" x14ac:dyDescent="0.3">
      <c r="B222" t="s">
        <v>178</v>
      </c>
      <c r="C222" s="3" t="s">
        <v>205</v>
      </c>
      <c r="D222" s="132" t="str">
        <f>VLOOKUP(C222,Mapping!$AB$2:$AC$8,2,FALSE)</f>
        <v>Age 1 - 2</v>
      </c>
      <c r="E222" s="132" t="str">
        <f t="shared" si="13"/>
        <v>Moonee Valley (C)Age 1 - 2</v>
      </c>
      <c r="F222" s="132" t="str">
        <f>INDEX(Mapping!$Y:$Y,MATCH($B222,Mapping!$W:$W,0))</f>
        <v>Metro</v>
      </c>
      <c r="G222" s="45">
        <v>1459</v>
      </c>
      <c r="H222" s="45">
        <v>1502</v>
      </c>
      <c r="I222" s="45">
        <v>1365</v>
      </c>
      <c r="J222" s="5"/>
      <c r="K222" s="5"/>
      <c r="L222" s="5"/>
      <c r="M222" s="5"/>
    </row>
    <row r="223" spans="2:13" x14ac:dyDescent="0.3">
      <c r="B223" t="s">
        <v>179</v>
      </c>
      <c r="C223" s="3" t="s">
        <v>205</v>
      </c>
      <c r="D223" s="132" t="str">
        <f>VLOOKUP(C223,Mapping!$AB$2:$AC$8,2,FALSE)</f>
        <v>Age 1 - 2</v>
      </c>
      <c r="E223" s="132" t="str">
        <f t="shared" si="13"/>
        <v>Moorabool (S)Age 1 - 2</v>
      </c>
      <c r="F223" s="132" t="str">
        <f>INDEX(Mapping!$Y:$Y,MATCH($B223,Mapping!$W:$W,0))</f>
        <v>Rural</v>
      </c>
      <c r="G223" s="45">
        <v>385</v>
      </c>
      <c r="H223" s="45">
        <v>386</v>
      </c>
      <c r="I223" s="45">
        <v>376</v>
      </c>
      <c r="J223" s="5"/>
      <c r="K223" s="5"/>
      <c r="L223" s="5"/>
      <c r="M223" s="5"/>
    </row>
    <row r="224" spans="2:13" x14ac:dyDescent="0.3">
      <c r="B224" t="s">
        <v>141</v>
      </c>
      <c r="C224" s="3" t="s">
        <v>205</v>
      </c>
      <c r="D224" s="132" t="str">
        <f>VLOOKUP(C224,Mapping!$AB$2:$AC$8,2,FALSE)</f>
        <v>Age 1 - 2</v>
      </c>
      <c r="E224" s="132" t="str">
        <f t="shared" si="13"/>
        <v>Moreland (C)Age 1 - 2</v>
      </c>
      <c r="F224" s="132" t="str">
        <f>INDEX(Mapping!$Y:$Y,MATCH($B224,Mapping!$W:$W,0))</f>
        <v>Metro</v>
      </c>
      <c r="G224" s="45">
        <v>2629</v>
      </c>
      <c r="H224" s="45">
        <v>2573</v>
      </c>
      <c r="I224" s="45">
        <v>2472</v>
      </c>
      <c r="J224" s="5"/>
      <c r="K224" s="5"/>
      <c r="L224" s="5"/>
      <c r="M224" s="5"/>
    </row>
    <row r="225" spans="2:13" x14ac:dyDescent="0.3">
      <c r="B225" t="s">
        <v>158</v>
      </c>
      <c r="C225" s="3" t="s">
        <v>205</v>
      </c>
      <c r="D225" s="132" t="str">
        <f>VLOOKUP(C225,Mapping!$AB$2:$AC$8,2,FALSE)</f>
        <v>Age 1 - 2</v>
      </c>
      <c r="E225" s="132" t="str">
        <f t="shared" si="13"/>
        <v>Mornington Peninsula (S)Age 1 - 2</v>
      </c>
      <c r="F225" s="132" t="str">
        <f>INDEX(Mapping!$Y:$Y,MATCH($B225,Mapping!$W:$W,0))</f>
        <v>Interface</v>
      </c>
      <c r="G225" s="45">
        <v>1682</v>
      </c>
      <c r="H225" s="45">
        <v>1672</v>
      </c>
      <c r="I225" s="45">
        <v>1605</v>
      </c>
      <c r="J225" s="5"/>
      <c r="K225" s="5"/>
      <c r="L225" s="5"/>
      <c r="M225" s="5"/>
    </row>
    <row r="226" spans="2:13" x14ac:dyDescent="0.3">
      <c r="B226" t="s">
        <v>142</v>
      </c>
      <c r="C226" s="3" t="s">
        <v>205</v>
      </c>
      <c r="D226" s="132" t="str">
        <f>VLOOKUP(C226,Mapping!$AB$2:$AC$8,2,FALSE)</f>
        <v>Age 1 - 2</v>
      </c>
      <c r="E226" s="132" t="str">
        <f t="shared" si="13"/>
        <v>Mount Alexander (S)Age 1 - 2</v>
      </c>
      <c r="F226" s="132" t="str">
        <f>INDEX(Mapping!$Y:$Y,MATCH($B226,Mapping!$W:$W,0))</f>
        <v>Rural</v>
      </c>
      <c r="G226" s="45">
        <v>161</v>
      </c>
      <c r="H226" s="45">
        <v>176</v>
      </c>
      <c r="I226" s="45">
        <v>126</v>
      </c>
      <c r="J226" s="5"/>
      <c r="K226" s="5"/>
      <c r="L226" s="5"/>
      <c r="M226" s="5"/>
    </row>
    <row r="227" spans="2:13" x14ac:dyDescent="0.3">
      <c r="B227" t="s">
        <v>180</v>
      </c>
      <c r="C227" s="3" t="s">
        <v>205</v>
      </c>
      <c r="D227" s="132" t="str">
        <f>VLOOKUP(C227,Mapping!$AB$2:$AC$8,2,FALSE)</f>
        <v>Age 1 - 2</v>
      </c>
      <c r="E227" s="132" t="str">
        <f t="shared" si="13"/>
        <v>Moyne (S)Age 1 - 2</v>
      </c>
      <c r="F227" s="132" t="str">
        <f>INDEX(Mapping!$Y:$Y,MATCH($B227,Mapping!$W:$W,0))</f>
        <v>Rural</v>
      </c>
      <c r="G227" s="45">
        <v>200</v>
      </c>
      <c r="H227" s="45">
        <v>152</v>
      </c>
      <c r="I227" s="45">
        <v>124</v>
      </c>
      <c r="J227" s="5"/>
      <c r="K227" s="5"/>
      <c r="L227" s="5"/>
      <c r="M227" s="5"/>
    </row>
    <row r="228" spans="2:13" x14ac:dyDescent="0.3">
      <c r="B228" t="s">
        <v>123</v>
      </c>
      <c r="C228" s="3" t="s">
        <v>205</v>
      </c>
      <c r="D228" s="132" t="str">
        <f>VLOOKUP(C228,Mapping!$AB$2:$AC$8,2,FALSE)</f>
        <v>Age 1 - 2</v>
      </c>
      <c r="E228" s="132" t="str">
        <f t="shared" si="13"/>
        <v>Murrindindi (S)Age 1 - 2</v>
      </c>
      <c r="F228" s="132" t="str">
        <f>INDEX(Mapping!$Y:$Y,MATCH($B228,Mapping!$W:$W,0))</f>
        <v>Rural</v>
      </c>
      <c r="G228" s="45">
        <v>126</v>
      </c>
      <c r="H228" s="45">
        <v>121</v>
      </c>
      <c r="I228" s="45">
        <v>121</v>
      </c>
      <c r="J228" s="5"/>
      <c r="K228" s="5"/>
      <c r="L228" s="5"/>
      <c r="M228" s="5"/>
    </row>
    <row r="229" spans="2:13" x14ac:dyDescent="0.3">
      <c r="B229" t="s">
        <v>143</v>
      </c>
      <c r="C229" s="3" t="s">
        <v>205</v>
      </c>
      <c r="D229" s="132" t="str">
        <f>VLOOKUP(C229,Mapping!$AB$2:$AC$8,2,FALSE)</f>
        <v>Age 1 - 2</v>
      </c>
      <c r="E229" s="132" t="str">
        <f t="shared" si="13"/>
        <v>Nillumbik (S)Age 1 - 2</v>
      </c>
      <c r="F229" s="132" t="str">
        <f>INDEX(Mapping!$Y:$Y,MATCH($B229,Mapping!$W:$W,0))</f>
        <v>Interface</v>
      </c>
      <c r="G229" s="45">
        <v>661</v>
      </c>
      <c r="H229" s="45">
        <v>630</v>
      </c>
      <c r="I229" s="45">
        <v>648</v>
      </c>
      <c r="J229" s="5"/>
      <c r="K229" s="5"/>
      <c r="L229" s="5"/>
      <c r="M229" s="5"/>
    </row>
    <row r="230" spans="2:13" x14ac:dyDescent="0.3">
      <c r="B230" t="s">
        <v>181</v>
      </c>
      <c r="C230" s="3" t="s">
        <v>205</v>
      </c>
      <c r="D230" s="132" t="str">
        <f>VLOOKUP(C230,Mapping!$AB$2:$AC$8,2,FALSE)</f>
        <v>Age 1 - 2</v>
      </c>
      <c r="E230" s="132" t="str">
        <f t="shared" si="13"/>
        <v>Northern Grampians (S)Age 1 - 2</v>
      </c>
      <c r="F230" s="132" t="str">
        <f>INDEX(Mapping!$Y:$Y,MATCH($B230,Mapping!$W:$W,0))</f>
        <v>Rural</v>
      </c>
      <c r="G230" s="45">
        <v>98</v>
      </c>
      <c r="H230" s="45">
        <v>112</v>
      </c>
      <c r="I230" s="45">
        <v>111</v>
      </c>
      <c r="J230" s="5"/>
      <c r="K230" s="5"/>
      <c r="L230" s="5"/>
      <c r="M230" s="5"/>
    </row>
    <row r="231" spans="2:13" x14ac:dyDescent="0.3">
      <c r="B231" t="s">
        <v>159</v>
      </c>
      <c r="C231" s="3" t="s">
        <v>205</v>
      </c>
      <c r="D231" s="132" t="str">
        <f>VLOOKUP(C231,Mapping!$AB$2:$AC$8,2,FALSE)</f>
        <v>Age 1 - 2</v>
      </c>
      <c r="E231" s="132" t="str">
        <f t="shared" si="13"/>
        <v>Port Phillip (C)Age 1 - 2</v>
      </c>
      <c r="F231" s="132" t="str">
        <f>INDEX(Mapping!$Y:$Y,MATCH($B231,Mapping!$W:$W,0))</f>
        <v>Metro</v>
      </c>
      <c r="G231" s="45">
        <v>1333</v>
      </c>
      <c r="H231" s="45">
        <v>1435</v>
      </c>
      <c r="I231" s="45">
        <v>1185</v>
      </c>
      <c r="J231" s="5"/>
      <c r="K231" s="5"/>
      <c r="L231" s="5"/>
      <c r="M231" s="5"/>
    </row>
    <row r="232" spans="2:13" x14ac:dyDescent="0.3">
      <c r="B232" t="s">
        <v>182</v>
      </c>
      <c r="C232" s="3" t="s">
        <v>205</v>
      </c>
      <c r="D232" s="132" t="str">
        <f>VLOOKUP(C232,Mapping!$AB$2:$AC$8,2,FALSE)</f>
        <v>Age 1 - 2</v>
      </c>
      <c r="E232" s="132" t="str">
        <f t="shared" si="13"/>
        <v>Pyrenees (S)Age 1 - 2</v>
      </c>
      <c r="F232" s="132" t="str">
        <f>INDEX(Mapping!$Y:$Y,MATCH($B232,Mapping!$W:$W,0))</f>
        <v>Rural</v>
      </c>
      <c r="G232" s="45">
        <v>75</v>
      </c>
      <c r="H232" s="45">
        <v>51</v>
      </c>
      <c r="I232" s="45">
        <v>51</v>
      </c>
      <c r="J232" s="5"/>
      <c r="K232" s="5"/>
      <c r="L232" s="5"/>
      <c r="M232" s="5"/>
    </row>
    <row r="233" spans="2:13" x14ac:dyDescent="0.3">
      <c r="B233" t="s">
        <v>183</v>
      </c>
      <c r="C233" s="3" t="s">
        <v>205</v>
      </c>
      <c r="D233" s="132" t="str">
        <f>VLOOKUP(C233,Mapping!$AB$2:$AC$8,2,FALSE)</f>
        <v>Age 1 - 2</v>
      </c>
      <c r="E233" s="132" t="str">
        <f t="shared" si="13"/>
        <v>Queenscliffe (B)Age 1 - 2</v>
      </c>
      <c r="F233" s="132" t="str">
        <f>INDEX(Mapping!$Y:$Y,MATCH($B233,Mapping!$W:$W,0))</f>
        <v>Rural</v>
      </c>
      <c r="G233" s="45">
        <v>17</v>
      </c>
      <c r="H233" s="45">
        <v>23</v>
      </c>
      <c r="I233" s="45">
        <v>19</v>
      </c>
      <c r="J233" s="5"/>
      <c r="K233" s="5"/>
      <c r="L233" s="5"/>
      <c r="M233" s="5"/>
    </row>
    <row r="234" spans="2:13" x14ac:dyDescent="0.3">
      <c r="B234" t="s">
        <v>160</v>
      </c>
      <c r="C234" s="3" t="s">
        <v>205</v>
      </c>
      <c r="D234" s="132" t="str">
        <f>VLOOKUP(C234,Mapping!$AB$2:$AC$8,2,FALSE)</f>
        <v>Age 1 - 2</v>
      </c>
      <c r="E234" s="132" t="str">
        <f t="shared" si="13"/>
        <v>South Gippsland (S)Age 1 - 2</v>
      </c>
      <c r="F234" s="132" t="str">
        <f>INDEX(Mapping!$Y:$Y,MATCH($B234,Mapping!$W:$W,0))</f>
        <v>Rural</v>
      </c>
      <c r="G234" s="45">
        <v>335</v>
      </c>
      <c r="H234" s="45">
        <v>313</v>
      </c>
      <c r="I234" s="45">
        <v>284</v>
      </c>
      <c r="J234" s="5"/>
      <c r="K234" s="5"/>
      <c r="L234" s="5"/>
      <c r="M234" s="5"/>
    </row>
    <row r="235" spans="2:13" x14ac:dyDescent="0.3">
      <c r="B235" t="s">
        <v>184</v>
      </c>
      <c r="C235" s="3" t="s">
        <v>205</v>
      </c>
      <c r="D235" s="132" t="str">
        <f>VLOOKUP(C235,Mapping!$AB$2:$AC$8,2,FALSE)</f>
        <v>Age 1 - 2</v>
      </c>
      <c r="E235" s="132" t="str">
        <f t="shared" si="13"/>
        <v>Southern Grampians (S)Age 1 - 2</v>
      </c>
      <c r="F235" s="132" t="str">
        <f>INDEX(Mapping!$Y:$Y,MATCH($B235,Mapping!$W:$W,0))</f>
        <v>Rural</v>
      </c>
      <c r="G235" s="45">
        <v>189</v>
      </c>
      <c r="H235" s="45">
        <v>175</v>
      </c>
      <c r="I235" s="45">
        <v>166</v>
      </c>
      <c r="J235" s="5"/>
      <c r="K235" s="5"/>
      <c r="L235" s="5"/>
      <c r="M235" s="5"/>
    </row>
    <row r="236" spans="2:13" x14ac:dyDescent="0.3">
      <c r="B236" t="s">
        <v>161</v>
      </c>
      <c r="C236" s="3" t="s">
        <v>205</v>
      </c>
      <c r="D236" s="132" t="str">
        <f>VLOOKUP(C236,Mapping!$AB$2:$AC$8,2,FALSE)</f>
        <v>Age 1 - 2</v>
      </c>
      <c r="E236" s="132" t="str">
        <f t="shared" si="13"/>
        <v>Stonnington (C)Age 1 - 2</v>
      </c>
      <c r="F236" s="132" t="str">
        <f>INDEX(Mapping!$Y:$Y,MATCH($B236,Mapping!$W:$W,0))</f>
        <v>Metro</v>
      </c>
      <c r="G236" s="45">
        <v>1208</v>
      </c>
      <c r="H236" s="45">
        <v>1050</v>
      </c>
      <c r="I236" s="45">
        <v>1075</v>
      </c>
      <c r="J236" s="5"/>
      <c r="K236" s="5"/>
      <c r="L236" s="5"/>
      <c r="M236" s="5"/>
    </row>
    <row r="237" spans="2:13" x14ac:dyDescent="0.3">
      <c r="B237" t="s">
        <v>124</v>
      </c>
      <c r="C237" s="3" t="s">
        <v>205</v>
      </c>
      <c r="D237" s="132" t="str">
        <f>VLOOKUP(C237,Mapping!$AB$2:$AC$8,2,FALSE)</f>
        <v>Age 1 - 2</v>
      </c>
      <c r="E237" s="132" t="str">
        <f t="shared" si="13"/>
        <v>Strathbogie (S)Age 1 - 2</v>
      </c>
      <c r="F237" s="132" t="str">
        <f>INDEX(Mapping!$Y:$Y,MATCH($B237,Mapping!$W:$W,0))</f>
        <v>Rural</v>
      </c>
      <c r="G237" s="45">
        <v>90</v>
      </c>
      <c r="H237" s="45">
        <v>86</v>
      </c>
      <c r="I237" s="45">
        <v>90</v>
      </c>
      <c r="J237" s="5"/>
      <c r="K237" s="5"/>
      <c r="L237" s="5"/>
      <c r="M237" s="5"/>
    </row>
    <row r="238" spans="2:13" x14ac:dyDescent="0.3">
      <c r="B238" t="s">
        <v>185</v>
      </c>
      <c r="C238" s="3" t="s">
        <v>205</v>
      </c>
      <c r="D238" s="132" t="str">
        <f>VLOOKUP(C238,Mapping!$AB$2:$AC$8,2,FALSE)</f>
        <v>Age 1 - 2</v>
      </c>
      <c r="E238" s="132" t="str">
        <f t="shared" si="13"/>
        <v>Surf Coast (S)Age 1 - 2</v>
      </c>
      <c r="F238" s="132" t="str">
        <f>INDEX(Mapping!$Y:$Y,MATCH($B238,Mapping!$W:$W,0))</f>
        <v>Rural</v>
      </c>
      <c r="G238" s="45">
        <v>352</v>
      </c>
      <c r="H238" s="45">
        <v>353</v>
      </c>
      <c r="I238" s="45">
        <v>345</v>
      </c>
      <c r="J238" s="5"/>
      <c r="K238" s="5"/>
      <c r="L238" s="5"/>
      <c r="M238" s="5"/>
    </row>
    <row r="239" spans="2:13" x14ac:dyDescent="0.3">
      <c r="B239" t="s">
        <v>144</v>
      </c>
      <c r="C239" s="3" t="s">
        <v>205</v>
      </c>
      <c r="D239" s="132" t="str">
        <f>VLOOKUP(C239,Mapping!$AB$2:$AC$8,2,FALSE)</f>
        <v>Age 1 - 2</v>
      </c>
      <c r="E239" s="132" t="str">
        <f t="shared" si="13"/>
        <v>Swan Hill (RC)Age 1 - 2</v>
      </c>
      <c r="F239" s="132" t="str">
        <f>INDEX(Mapping!$Y:$Y,MATCH($B239,Mapping!$W:$W,0))</f>
        <v>Rural</v>
      </c>
      <c r="G239" s="45">
        <v>315</v>
      </c>
      <c r="H239" s="45">
        <v>321</v>
      </c>
      <c r="I239" s="45">
        <v>326</v>
      </c>
      <c r="J239" s="5"/>
      <c r="K239" s="5"/>
      <c r="L239" s="5"/>
      <c r="M239" s="5"/>
    </row>
    <row r="240" spans="2:13" x14ac:dyDescent="0.3">
      <c r="B240" t="s">
        <v>125</v>
      </c>
      <c r="C240" s="3" t="s">
        <v>205</v>
      </c>
      <c r="D240" s="132" t="str">
        <f>VLOOKUP(C240,Mapping!$AB$2:$AC$8,2,FALSE)</f>
        <v>Age 1 - 2</v>
      </c>
      <c r="E240" s="132" t="str">
        <f t="shared" si="13"/>
        <v>Towong (S)Age 1 - 2</v>
      </c>
      <c r="F240" s="132" t="str">
        <f>INDEX(Mapping!$Y:$Y,MATCH($B240,Mapping!$W:$W,0))</f>
        <v>Rural</v>
      </c>
      <c r="G240" s="45">
        <v>59</v>
      </c>
      <c r="H240" s="45">
        <v>55</v>
      </c>
      <c r="I240" s="45">
        <v>70</v>
      </c>
      <c r="J240" s="5"/>
      <c r="K240" s="5"/>
      <c r="L240" s="5"/>
      <c r="M240" s="5"/>
    </row>
    <row r="241" spans="2:13" x14ac:dyDescent="0.3">
      <c r="B241" t="s">
        <v>126</v>
      </c>
      <c r="C241" s="3" t="s">
        <v>205</v>
      </c>
      <c r="D241" s="132" t="str">
        <f>VLOOKUP(C241,Mapping!$AB$2:$AC$8,2,FALSE)</f>
        <v>Age 1 - 2</v>
      </c>
      <c r="E241" s="132" t="str">
        <f t="shared" si="13"/>
        <v>Wangaratta (RC)Age 1 - 2</v>
      </c>
      <c r="F241" s="132" t="str">
        <f>INDEX(Mapping!$Y:$Y,MATCH($B241,Mapping!$W:$W,0))</f>
        <v>Rural</v>
      </c>
      <c r="G241" s="45">
        <v>317</v>
      </c>
      <c r="H241" s="45">
        <v>301</v>
      </c>
      <c r="I241" s="45">
        <v>325</v>
      </c>
      <c r="J241" s="5"/>
      <c r="K241" s="5"/>
      <c r="L241" s="5"/>
      <c r="M241" s="5"/>
    </row>
    <row r="242" spans="2:13" x14ac:dyDescent="0.3">
      <c r="B242" t="s">
        <v>186</v>
      </c>
      <c r="C242" s="3" t="s">
        <v>205</v>
      </c>
      <c r="D242" s="132" t="str">
        <f>VLOOKUP(C242,Mapping!$AB$2:$AC$8,2,FALSE)</f>
        <v>Age 1 - 2</v>
      </c>
      <c r="E242" s="132" t="str">
        <f t="shared" si="13"/>
        <v>Warrnambool (C)Age 1 - 2</v>
      </c>
      <c r="F242" s="132" t="str">
        <f>INDEX(Mapping!$Y:$Y,MATCH($B242,Mapping!$W:$W,0))</f>
        <v>Rural</v>
      </c>
      <c r="G242" s="45">
        <v>415</v>
      </c>
      <c r="H242" s="45">
        <v>435</v>
      </c>
      <c r="I242" s="45">
        <v>344</v>
      </c>
      <c r="J242" s="5"/>
      <c r="K242" s="5"/>
      <c r="L242" s="5"/>
      <c r="M242" s="5"/>
    </row>
    <row r="243" spans="2:13" x14ac:dyDescent="0.3">
      <c r="B243" t="s">
        <v>162</v>
      </c>
      <c r="C243" s="3" t="s">
        <v>205</v>
      </c>
      <c r="D243" s="132" t="str">
        <f>VLOOKUP(C243,Mapping!$AB$2:$AC$8,2,FALSE)</f>
        <v>Age 1 - 2</v>
      </c>
      <c r="E243" s="132" t="str">
        <f t="shared" si="13"/>
        <v>Wellington (S)Age 1 - 2</v>
      </c>
      <c r="F243" s="132" t="str">
        <f>INDEX(Mapping!$Y:$Y,MATCH($B243,Mapping!$W:$W,0))</f>
        <v>Rural</v>
      </c>
      <c r="G243" s="45">
        <v>555</v>
      </c>
      <c r="H243" s="45">
        <v>446</v>
      </c>
      <c r="I243" s="45">
        <v>511</v>
      </c>
      <c r="J243" s="5"/>
      <c r="K243" s="5"/>
      <c r="L243" s="5"/>
      <c r="M243" s="5"/>
    </row>
    <row r="244" spans="2:13" x14ac:dyDescent="0.3">
      <c r="B244" t="s">
        <v>187</v>
      </c>
      <c r="C244" s="3" t="s">
        <v>205</v>
      </c>
      <c r="D244" s="132" t="str">
        <f>VLOOKUP(C244,Mapping!$AB$2:$AC$8,2,FALSE)</f>
        <v>Age 1 - 2</v>
      </c>
      <c r="E244" s="132" t="str">
        <f t="shared" si="13"/>
        <v>West Wimmera (S)Age 1 - 2</v>
      </c>
      <c r="F244" s="132" t="str">
        <f>INDEX(Mapping!$Y:$Y,MATCH($B244,Mapping!$W:$W,0))</f>
        <v>Rural</v>
      </c>
      <c r="G244" s="45">
        <v>36</v>
      </c>
      <c r="H244" s="45">
        <v>30</v>
      </c>
      <c r="I244" s="45">
        <v>35</v>
      </c>
      <c r="J244" s="5"/>
      <c r="K244" s="5"/>
      <c r="L244" s="5"/>
      <c r="M244" s="5"/>
    </row>
    <row r="245" spans="2:13" x14ac:dyDescent="0.3">
      <c r="B245" t="s">
        <v>127</v>
      </c>
      <c r="C245" s="3" t="s">
        <v>205</v>
      </c>
      <c r="D245" s="132" t="str">
        <f>VLOOKUP(C245,Mapping!$AB$2:$AC$8,2,FALSE)</f>
        <v>Age 1 - 2</v>
      </c>
      <c r="E245" s="132" t="str">
        <f t="shared" si="13"/>
        <v>Whitehorse (C)Age 1 - 2</v>
      </c>
      <c r="F245" s="132" t="str">
        <f>INDEX(Mapping!$Y:$Y,MATCH($B245,Mapping!$W:$W,0))</f>
        <v>Metro</v>
      </c>
      <c r="G245" s="45">
        <v>1948</v>
      </c>
      <c r="H245" s="45">
        <v>3444</v>
      </c>
      <c r="I245" s="45">
        <v>1705</v>
      </c>
      <c r="J245" s="5"/>
      <c r="K245" s="5"/>
      <c r="L245" s="5"/>
      <c r="M245" s="5"/>
    </row>
    <row r="246" spans="2:13" x14ac:dyDescent="0.3">
      <c r="B246" t="s">
        <v>145</v>
      </c>
      <c r="C246" s="3" t="s">
        <v>205</v>
      </c>
      <c r="D246" s="132" t="str">
        <f>VLOOKUP(C246,Mapping!$AB$2:$AC$8,2,FALSE)</f>
        <v>Age 1 - 2</v>
      </c>
      <c r="E246" s="132" t="str">
        <f t="shared" si="13"/>
        <v>Whittlesea (C)Age 1 - 2</v>
      </c>
      <c r="F246" s="132" t="str">
        <f>INDEX(Mapping!$Y:$Y,MATCH($B246,Mapping!$W:$W,0))</f>
        <v>Interface</v>
      </c>
      <c r="G246" s="45">
        <v>3384</v>
      </c>
      <c r="H246" s="45">
        <v>3699</v>
      </c>
      <c r="I246" s="45">
        <v>3677</v>
      </c>
      <c r="J246" s="5"/>
      <c r="K246" s="5"/>
      <c r="L246" s="5"/>
      <c r="M246" s="5"/>
    </row>
    <row r="247" spans="2:13" x14ac:dyDescent="0.3">
      <c r="B247" t="s">
        <v>128</v>
      </c>
      <c r="C247" s="3" t="s">
        <v>205</v>
      </c>
      <c r="D247" s="132" t="str">
        <f>VLOOKUP(C247,Mapping!$AB$2:$AC$8,2,FALSE)</f>
        <v>Age 1 - 2</v>
      </c>
      <c r="E247" s="132" t="str">
        <f t="shared" si="13"/>
        <v>Wodonga (RC)Age 1 - 2</v>
      </c>
      <c r="F247" s="132" t="str">
        <f>INDEX(Mapping!$Y:$Y,MATCH($B247,Mapping!$W:$W,0))</f>
        <v>Rural</v>
      </c>
      <c r="G247" s="45">
        <v>590</v>
      </c>
      <c r="H247" s="45">
        <v>594</v>
      </c>
      <c r="I247" s="45">
        <v>544</v>
      </c>
      <c r="J247" s="5"/>
      <c r="K247" s="5"/>
      <c r="L247" s="5"/>
      <c r="M247" s="5"/>
    </row>
    <row r="248" spans="2:13" x14ac:dyDescent="0.3">
      <c r="B248" t="s">
        <v>188</v>
      </c>
      <c r="C248" s="3" t="s">
        <v>205</v>
      </c>
      <c r="D248" s="132" t="str">
        <f>VLOOKUP(C248,Mapping!$AB$2:$AC$8,2,FALSE)</f>
        <v>Age 1 - 2</v>
      </c>
      <c r="E248" s="132" t="str">
        <f t="shared" si="13"/>
        <v>Wyndham (C)Age 1 - 2</v>
      </c>
      <c r="F248" s="132" t="str">
        <f>INDEX(Mapping!$Y:$Y,MATCH($B248,Mapping!$W:$W,0))</f>
        <v>Interface</v>
      </c>
      <c r="G248" s="45">
        <v>4627</v>
      </c>
      <c r="H248" s="45">
        <v>4727</v>
      </c>
      <c r="I248" s="45">
        <v>4859</v>
      </c>
      <c r="J248" s="5"/>
      <c r="K248" s="5"/>
      <c r="L248" s="5"/>
      <c r="M248" s="5"/>
    </row>
    <row r="249" spans="2:13" x14ac:dyDescent="0.3">
      <c r="B249" t="s">
        <v>146</v>
      </c>
      <c r="C249" s="3" t="s">
        <v>205</v>
      </c>
      <c r="D249" s="132" t="str">
        <f>VLOOKUP(C249,Mapping!$AB$2:$AC$8,2,FALSE)</f>
        <v>Age 1 - 2</v>
      </c>
      <c r="E249" s="132" t="str">
        <f t="shared" si="13"/>
        <v>Yarra (C)Age 1 - 2</v>
      </c>
      <c r="F249" s="132" t="str">
        <f>INDEX(Mapping!$Y:$Y,MATCH($B249,Mapping!$W:$W,0))</f>
        <v>Metro</v>
      </c>
      <c r="G249" s="45">
        <v>1021</v>
      </c>
      <c r="H249" s="45">
        <v>972</v>
      </c>
      <c r="I249" s="45">
        <v>1001</v>
      </c>
      <c r="J249" s="5"/>
      <c r="K249" s="5"/>
      <c r="L249" s="5"/>
      <c r="M249" s="5"/>
    </row>
    <row r="250" spans="2:13" x14ac:dyDescent="0.3">
      <c r="B250" t="s">
        <v>129</v>
      </c>
      <c r="C250" s="3" t="s">
        <v>205</v>
      </c>
      <c r="D250" s="132" t="str">
        <f>VLOOKUP(C250,Mapping!$AB$2:$AC$8,2,FALSE)</f>
        <v>Age 1 - 2</v>
      </c>
      <c r="E250" s="132" t="str">
        <f t="shared" si="13"/>
        <v>Yarra Ranges (S)Age 1 - 2</v>
      </c>
      <c r="F250" s="132" t="str">
        <f>INDEX(Mapping!$Y:$Y,MATCH($B250,Mapping!$W:$W,0))</f>
        <v>Interface</v>
      </c>
      <c r="G250" s="45">
        <v>1851</v>
      </c>
      <c r="H250" s="45">
        <v>1898</v>
      </c>
      <c r="I250" s="45">
        <v>1882</v>
      </c>
      <c r="J250" s="5"/>
      <c r="K250" s="5"/>
      <c r="L250" s="5"/>
      <c r="M250" s="5"/>
    </row>
    <row r="251" spans="2:13" x14ac:dyDescent="0.3">
      <c r="B251" t="s">
        <v>189</v>
      </c>
      <c r="C251" s="3" t="s">
        <v>205</v>
      </c>
      <c r="D251" s="132" t="str">
        <f>VLOOKUP(C251,Mapping!$AB$2:$AC$8,2,FALSE)</f>
        <v>Age 1 - 2</v>
      </c>
      <c r="E251" s="132" t="str">
        <f t="shared" si="13"/>
        <v>Yarriambiack (S)Age 1 - 2</v>
      </c>
      <c r="F251" s="132" t="str">
        <f>INDEX(Mapping!$Y:$Y,MATCH($B251,Mapping!$W:$W,0))</f>
        <v>Rural</v>
      </c>
      <c r="G251" s="45">
        <v>70</v>
      </c>
      <c r="H251" s="45">
        <v>67</v>
      </c>
      <c r="I251" s="45">
        <v>70</v>
      </c>
      <c r="J251" s="5"/>
      <c r="K251" s="5"/>
      <c r="L251" s="5"/>
      <c r="M251" s="5"/>
    </row>
    <row r="252" spans="2:13" x14ac:dyDescent="0.3">
      <c r="B252" t="s">
        <v>111</v>
      </c>
      <c r="C252" s="3" t="s">
        <v>206</v>
      </c>
      <c r="D252" s="132" t="str">
        <f>VLOOKUP(C252,Mapping!$AB$2:$AC$8,2,FALSE)</f>
        <v>Age 2 - 3</v>
      </c>
      <c r="E252" s="132" t="str">
        <f t="shared" si="13"/>
        <v>Alpine (S)Age 2 - 3</v>
      </c>
      <c r="F252" s="132" t="str">
        <f>INDEX(Mapping!$Y:$Y,MATCH($B252,Mapping!$W:$W,0))</f>
        <v>Rural</v>
      </c>
      <c r="G252" s="45">
        <v>102</v>
      </c>
      <c r="H252" s="45">
        <v>100</v>
      </c>
      <c r="I252" s="45">
        <v>105</v>
      </c>
      <c r="J252" s="5"/>
      <c r="K252" s="5"/>
      <c r="L252" s="5"/>
      <c r="M252" s="5"/>
    </row>
    <row r="253" spans="2:13" x14ac:dyDescent="0.3">
      <c r="B253" t="s">
        <v>163</v>
      </c>
      <c r="C253" s="3" t="s">
        <v>206</v>
      </c>
      <c r="D253" s="132" t="str">
        <f>VLOOKUP(C253,Mapping!$AB$2:$AC$8,2,FALSE)</f>
        <v>Age 2 - 3</v>
      </c>
      <c r="E253" s="132" t="str">
        <f t="shared" si="13"/>
        <v>Ararat (RC)Age 2 - 3</v>
      </c>
      <c r="F253" s="132" t="str">
        <f>INDEX(Mapping!$Y:$Y,MATCH($B253,Mapping!$W:$W,0))</f>
        <v>Rural</v>
      </c>
      <c r="G253" s="45">
        <v>117</v>
      </c>
      <c r="H253" s="45">
        <v>111</v>
      </c>
      <c r="I253" s="45">
        <v>120</v>
      </c>
      <c r="J253" s="5"/>
      <c r="K253" s="5"/>
      <c r="L253" s="5"/>
      <c r="M253" s="5"/>
    </row>
    <row r="254" spans="2:13" x14ac:dyDescent="0.3">
      <c r="B254" t="s">
        <v>164</v>
      </c>
      <c r="C254" s="3" t="s">
        <v>206</v>
      </c>
      <c r="D254" s="132" t="str">
        <f>VLOOKUP(C254,Mapping!$AB$2:$AC$8,2,FALSE)</f>
        <v>Age 2 - 3</v>
      </c>
      <c r="E254" s="132" t="str">
        <f t="shared" si="13"/>
        <v>Ballarat (C)Age 2 - 3</v>
      </c>
      <c r="F254" s="132" t="str">
        <f>INDEX(Mapping!$Y:$Y,MATCH($B254,Mapping!$W:$W,0))</f>
        <v>Rural</v>
      </c>
      <c r="G254" s="45">
        <v>1431</v>
      </c>
      <c r="H254" s="45">
        <v>1332</v>
      </c>
      <c r="I254" s="45">
        <v>1441</v>
      </c>
      <c r="J254" s="5"/>
      <c r="K254" s="5"/>
      <c r="L254" s="5"/>
      <c r="M254" s="5"/>
    </row>
    <row r="255" spans="2:13" x14ac:dyDescent="0.3">
      <c r="B255" t="s">
        <v>130</v>
      </c>
      <c r="C255" s="3" t="s">
        <v>206</v>
      </c>
      <c r="D255" s="132" t="str">
        <f>VLOOKUP(C255,Mapping!$AB$2:$AC$8,2,FALSE)</f>
        <v>Age 2 - 3</v>
      </c>
      <c r="E255" s="132" t="str">
        <f t="shared" si="13"/>
        <v>Banyule (C)Age 2 - 3</v>
      </c>
      <c r="F255" s="132" t="str">
        <f>INDEX(Mapping!$Y:$Y,MATCH($B255,Mapping!$W:$W,0))</f>
        <v>Metro</v>
      </c>
      <c r="G255" s="45">
        <v>1917</v>
      </c>
      <c r="H255" s="45">
        <v>1563</v>
      </c>
      <c r="I255" s="45">
        <v>1642</v>
      </c>
      <c r="J255" s="5"/>
      <c r="K255" s="5"/>
      <c r="L255" s="5"/>
      <c r="M255" s="5"/>
    </row>
    <row r="256" spans="2:13" x14ac:dyDescent="0.3">
      <c r="B256" t="s">
        <v>147</v>
      </c>
      <c r="C256" s="3" t="s">
        <v>206</v>
      </c>
      <c r="D256" s="132" t="str">
        <f>VLOOKUP(C256,Mapping!$AB$2:$AC$8,2,FALSE)</f>
        <v>Age 2 - 3</v>
      </c>
      <c r="E256" s="132" t="str">
        <f t="shared" si="13"/>
        <v>Bass Coast (S)Age 2 - 3</v>
      </c>
      <c r="F256" s="132" t="str">
        <f>INDEX(Mapping!$Y:$Y,MATCH($B256,Mapping!$W:$W,0))</f>
        <v>Rural</v>
      </c>
      <c r="G256" s="45">
        <v>407</v>
      </c>
      <c r="H256" s="45">
        <v>332</v>
      </c>
      <c r="I256" s="45">
        <v>331</v>
      </c>
      <c r="J256" s="5"/>
      <c r="K256" s="5"/>
      <c r="L256" s="5"/>
      <c r="M256" s="5"/>
    </row>
    <row r="257" spans="2:13" x14ac:dyDescent="0.3">
      <c r="B257" t="s">
        <v>148</v>
      </c>
      <c r="C257" s="3" t="s">
        <v>206</v>
      </c>
      <c r="D257" s="132" t="str">
        <f>VLOOKUP(C257,Mapping!$AB$2:$AC$8,2,FALSE)</f>
        <v>Age 2 - 3</v>
      </c>
      <c r="E257" s="132" t="str">
        <f t="shared" si="13"/>
        <v>Baw Baw (S)Age 2 - 3</v>
      </c>
      <c r="F257" s="132" t="str">
        <f>INDEX(Mapping!$Y:$Y,MATCH($B257,Mapping!$W:$W,0))</f>
        <v>Rural</v>
      </c>
      <c r="G257" s="45">
        <v>614</v>
      </c>
      <c r="H257" s="45">
        <v>612</v>
      </c>
      <c r="I257" s="45">
        <v>678</v>
      </c>
      <c r="J257" s="5"/>
      <c r="K257" s="5"/>
      <c r="L257" s="5"/>
      <c r="M257" s="5"/>
    </row>
    <row r="258" spans="2:13" x14ac:dyDescent="0.3">
      <c r="B258" t="s">
        <v>149</v>
      </c>
      <c r="C258" s="3" t="s">
        <v>206</v>
      </c>
      <c r="D258" s="132" t="str">
        <f>VLOOKUP(C258,Mapping!$AB$2:$AC$8,2,FALSE)</f>
        <v>Age 2 - 3</v>
      </c>
      <c r="E258" s="132" t="str">
        <f t="shared" si="13"/>
        <v>Bayside (C)Age 2 - 3</v>
      </c>
      <c r="F258" s="132" t="str">
        <f>INDEX(Mapping!$Y:$Y,MATCH($B258,Mapping!$W:$W,0))</f>
        <v>Metro</v>
      </c>
      <c r="G258" s="45">
        <v>1050</v>
      </c>
      <c r="H258" s="45">
        <v>1086</v>
      </c>
      <c r="I258" s="45">
        <v>1028</v>
      </c>
      <c r="J258" s="5"/>
      <c r="K258" s="5"/>
      <c r="L258" s="5"/>
      <c r="M258" s="5"/>
    </row>
    <row r="259" spans="2:13" x14ac:dyDescent="0.3">
      <c r="B259" t="s">
        <v>112</v>
      </c>
      <c r="C259" s="3" t="s">
        <v>206</v>
      </c>
      <c r="D259" s="132" t="str">
        <f>VLOOKUP(C259,Mapping!$AB$2:$AC$8,2,FALSE)</f>
        <v>Age 2 - 3</v>
      </c>
      <c r="E259" s="132" t="str">
        <f t="shared" si="13"/>
        <v>Benalla (RC)Age 2 - 3</v>
      </c>
      <c r="F259" s="132" t="str">
        <f>INDEX(Mapping!$Y:$Y,MATCH($B259,Mapping!$W:$W,0))</f>
        <v>Rural</v>
      </c>
      <c r="G259" s="45">
        <v>142</v>
      </c>
      <c r="H259" s="45">
        <v>121</v>
      </c>
      <c r="I259" s="45">
        <v>137</v>
      </c>
      <c r="J259" s="5"/>
      <c r="K259" s="5"/>
      <c r="L259" s="5"/>
      <c r="M259" s="5"/>
    </row>
    <row r="260" spans="2:13" x14ac:dyDescent="0.3">
      <c r="B260" t="s">
        <v>113</v>
      </c>
      <c r="C260" s="3" t="s">
        <v>206</v>
      </c>
      <c r="D260" s="132" t="str">
        <f>VLOOKUP(C260,Mapping!$AB$2:$AC$8,2,FALSE)</f>
        <v>Age 2 - 3</v>
      </c>
      <c r="E260" s="132" t="str">
        <f t="shared" si="13"/>
        <v>Boroondara (C)Age 2 - 3</v>
      </c>
      <c r="F260" s="132" t="str">
        <f>INDEX(Mapping!$Y:$Y,MATCH($B260,Mapping!$W:$W,0))</f>
        <v>Metro</v>
      </c>
      <c r="G260" s="45">
        <v>1628</v>
      </c>
      <c r="H260" s="45">
        <v>1675</v>
      </c>
      <c r="I260" s="45">
        <v>1547</v>
      </c>
      <c r="J260" s="5"/>
      <c r="K260" s="5"/>
      <c r="L260" s="5"/>
      <c r="M260" s="5"/>
    </row>
    <row r="261" spans="2:13" x14ac:dyDescent="0.3">
      <c r="B261" t="s">
        <v>165</v>
      </c>
      <c r="C261" s="3" t="s">
        <v>206</v>
      </c>
      <c r="D261" s="132" t="str">
        <f>VLOOKUP(C261,Mapping!$AB$2:$AC$8,2,FALSE)</f>
        <v>Age 2 - 3</v>
      </c>
      <c r="E261" s="132" t="str">
        <f t="shared" si="13"/>
        <v>Brimbank (C)Age 2 - 3</v>
      </c>
      <c r="F261" s="132" t="str">
        <f>INDEX(Mapping!$Y:$Y,MATCH($B261,Mapping!$W:$W,0))</f>
        <v>Metro</v>
      </c>
      <c r="G261" s="45">
        <v>2934</v>
      </c>
      <c r="H261" s="45">
        <v>3078</v>
      </c>
      <c r="I261" s="45">
        <v>3133</v>
      </c>
      <c r="J261" s="5"/>
      <c r="K261" s="5"/>
      <c r="L261" s="5"/>
      <c r="M261" s="5"/>
    </row>
    <row r="262" spans="2:13" x14ac:dyDescent="0.3">
      <c r="B262" t="s">
        <v>131</v>
      </c>
      <c r="C262" s="3" t="s">
        <v>206</v>
      </c>
      <c r="D262" s="132" t="str">
        <f>VLOOKUP(C262,Mapping!$AB$2:$AC$8,2,FALSE)</f>
        <v>Age 2 - 3</v>
      </c>
      <c r="E262" s="132" t="str">
        <f t="shared" si="13"/>
        <v>Buloke (S)Age 2 - 3</v>
      </c>
      <c r="F262" s="132" t="str">
        <f>INDEX(Mapping!$Y:$Y,MATCH($B262,Mapping!$W:$W,0))</f>
        <v>Rural</v>
      </c>
      <c r="G262" s="45">
        <v>58</v>
      </c>
      <c r="H262" s="45">
        <v>64</v>
      </c>
      <c r="I262" s="45">
        <v>61</v>
      </c>
      <c r="J262" s="5"/>
      <c r="K262" s="5"/>
      <c r="L262" s="5"/>
      <c r="M262" s="5"/>
    </row>
    <row r="263" spans="2:13" x14ac:dyDescent="0.3">
      <c r="B263" t="s">
        <v>132</v>
      </c>
      <c r="C263" s="3" t="s">
        <v>206</v>
      </c>
      <c r="D263" s="132" t="str">
        <f>VLOOKUP(C263,Mapping!$AB$2:$AC$8,2,FALSE)</f>
        <v>Age 2 - 3</v>
      </c>
      <c r="E263" s="132" t="str">
        <f t="shared" si="13"/>
        <v>Campaspe (S)Age 2 - 3</v>
      </c>
      <c r="F263" s="132" t="str">
        <f>INDEX(Mapping!$Y:$Y,MATCH($B263,Mapping!$W:$W,0))</f>
        <v>Rural</v>
      </c>
      <c r="G263" s="45">
        <v>478</v>
      </c>
      <c r="H263" s="45">
        <v>422</v>
      </c>
      <c r="I263" s="45">
        <v>474</v>
      </c>
      <c r="J263" s="5"/>
      <c r="K263" s="5"/>
      <c r="L263" s="5"/>
      <c r="M263" s="5"/>
    </row>
    <row r="264" spans="2:13" x14ac:dyDescent="0.3">
      <c r="B264" t="s">
        <v>150</v>
      </c>
      <c r="C264" s="3" t="s">
        <v>206</v>
      </c>
      <c r="D264" s="132" t="str">
        <f>VLOOKUP(C264,Mapping!$AB$2:$AC$8,2,FALSE)</f>
        <v>Age 2 - 3</v>
      </c>
      <c r="E264" s="132" t="str">
        <f t="shared" si="13"/>
        <v>Cardinia (S)Age 2 - 3</v>
      </c>
      <c r="F264" s="132" t="str">
        <f>INDEX(Mapping!$Y:$Y,MATCH($B264,Mapping!$W:$W,0))</f>
        <v>Interface</v>
      </c>
      <c r="G264" s="45">
        <v>1741</v>
      </c>
      <c r="H264" s="45">
        <v>1615</v>
      </c>
      <c r="I264" s="45">
        <v>1738</v>
      </c>
      <c r="J264" s="5"/>
      <c r="K264" s="5"/>
      <c r="L264" s="5"/>
      <c r="M264" s="5"/>
    </row>
    <row r="265" spans="2:13" x14ac:dyDescent="0.3">
      <c r="B265" t="s">
        <v>151</v>
      </c>
      <c r="C265" s="3" t="s">
        <v>206</v>
      </c>
      <c r="D265" s="132" t="str">
        <f>VLOOKUP(C265,Mapping!$AB$2:$AC$8,2,FALSE)</f>
        <v>Age 2 - 3</v>
      </c>
      <c r="E265" s="132" t="str">
        <f t="shared" si="13"/>
        <v>Casey (C)Age 2 - 3</v>
      </c>
      <c r="F265" s="132" t="str">
        <f>INDEX(Mapping!$Y:$Y,MATCH($B265,Mapping!$W:$W,0))</f>
        <v>Interface</v>
      </c>
      <c r="G265" s="45">
        <v>4749</v>
      </c>
      <c r="H265" s="45">
        <v>5034</v>
      </c>
      <c r="I265" s="45">
        <v>5346</v>
      </c>
      <c r="J265" s="5"/>
      <c r="K265" s="5"/>
      <c r="L265" s="5"/>
      <c r="M265" s="5"/>
    </row>
    <row r="266" spans="2:13" x14ac:dyDescent="0.3">
      <c r="B266" t="s">
        <v>133</v>
      </c>
      <c r="C266" s="3" t="s">
        <v>206</v>
      </c>
      <c r="D266" s="132" t="str">
        <f>VLOOKUP(C266,Mapping!$AB$2:$AC$8,2,FALSE)</f>
        <v>Age 2 - 3</v>
      </c>
      <c r="E266" s="132" t="str">
        <f t="shared" si="13"/>
        <v>Central Goldfields (S)Age 2 - 3</v>
      </c>
      <c r="F266" s="132" t="str">
        <f>INDEX(Mapping!$Y:$Y,MATCH($B266,Mapping!$W:$W,0))</f>
        <v>Rural</v>
      </c>
      <c r="G266" s="45">
        <v>143</v>
      </c>
      <c r="H266" s="45">
        <v>143</v>
      </c>
      <c r="I266" s="45">
        <v>131</v>
      </c>
      <c r="J266" s="5"/>
      <c r="K266" s="5"/>
      <c r="L266" s="5"/>
      <c r="M266" s="5"/>
    </row>
    <row r="267" spans="2:13" x14ac:dyDescent="0.3">
      <c r="B267" t="s">
        <v>166</v>
      </c>
      <c r="C267" s="3" t="s">
        <v>206</v>
      </c>
      <c r="D267" s="132" t="str">
        <f>VLOOKUP(C267,Mapping!$AB$2:$AC$8,2,FALSE)</f>
        <v>Age 2 - 3</v>
      </c>
      <c r="E267" s="132" t="str">
        <f t="shared" si="13"/>
        <v>Colac-Otway (S)Age 2 - 3</v>
      </c>
      <c r="F267" s="132" t="str">
        <f>INDEX(Mapping!$Y:$Y,MATCH($B267,Mapping!$W:$W,0))</f>
        <v>Rural</v>
      </c>
      <c r="G267" s="45">
        <v>261</v>
      </c>
      <c r="H267" s="45">
        <v>255</v>
      </c>
      <c r="I267" s="45">
        <v>257</v>
      </c>
      <c r="J267" s="5"/>
      <c r="K267" s="5"/>
      <c r="L267" s="5"/>
      <c r="M267" s="5"/>
    </row>
    <row r="268" spans="2:13" x14ac:dyDescent="0.3">
      <c r="B268" t="s">
        <v>167</v>
      </c>
      <c r="C268" s="3" t="s">
        <v>206</v>
      </c>
      <c r="D268" s="132" t="str">
        <f>VLOOKUP(C268,Mapping!$AB$2:$AC$8,2,FALSE)</f>
        <v>Age 2 - 3</v>
      </c>
      <c r="E268" s="132" t="str">
        <f t="shared" si="13"/>
        <v>Corangamite (S)Age 2 - 3</v>
      </c>
      <c r="F268" s="132" t="str">
        <f>INDEX(Mapping!$Y:$Y,MATCH($B268,Mapping!$W:$W,0))</f>
        <v>Rural</v>
      </c>
      <c r="G268" s="45">
        <v>164</v>
      </c>
      <c r="H268" s="45">
        <v>185</v>
      </c>
      <c r="I268" s="45">
        <v>134</v>
      </c>
      <c r="J268" s="5"/>
      <c r="K268" s="5"/>
      <c r="L268" s="5"/>
      <c r="M268" s="5"/>
    </row>
    <row r="269" spans="2:13" x14ac:dyDescent="0.3">
      <c r="B269" t="s">
        <v>134</v>
      </c>
      <c r="C269" s="3" t="s">
        <v>206</v>
      </c>
      <c r="D269" s="132" t="str">
        <f>VLOOKUP(C269,Mapping!$AB$2:$AC$8,2,FALSE)</f>
        <v>Age 2 - 3</v>
      </c>
      <c r="E269" s="132" t="str">
        <f t="shared" si="13"/>
        <v>Darebin (C)Age 2 - 3</v>
      </c>
      <c r="F269" s="132" t="str">
        <f>INDEX(Mapping!$Y:$Y,MATCH($B269,Mapping!$W:$W,0))</f>
        <v>Metro</v>
      </c>
      <c r="G269" s="45">
        <v>1815</v>
      </c>
      <c r="H269" s="45">
        <v>1884</v>
      </c>
      <c r="I269" s="45">
        <v>1651</v>
      </c>
      <c r="J269" s="5"/>
      <c r="K269" s="5"/>
      <c r="L269" s="5"/>
      <c r="M269" s="5"/>
    </row>
    <row r="270" spans="2:13" x14ac:dyDescent="0.3">
      <c r="B270" t="s">
        <v>152</v>
      </c>
      <c r="C270" s="3" t="s">
        <v>206</v>
      </c>
      <c r="D270" s="132" t="str">
        <f>VLOOKUP(C270,Mapping!$AB$2:$AC$8,2,FALSE)</f>
        <v>Age 2 - 3</v>
      </c>
      <c r="E270" s="132" t="str">
        <f t="shared" si="13"/>
        <v>East Gippsland (S)Age 2 - 3</v>
      </c>
      <c r="F270" s="132" t="str">
        <f>INDEX(Mapping!$Y:$Y,MATCH($B270,Mapping!$W:$W,0))</f>
        <v>Rural</v>
      </c>
      <c r="G270" s="45">
        <v>470</v>
      </c>
      <c r="H270" s="45">
        <v>479</v>
      </c>
      <c r="I270" s="45">
        <v>532</v>
      </c>
      <c r="J270" s="5"/>
      <c r="K270" s="5"/>
      <c r="L270" s="5"/>
      <c r="M270" s="5"/>
    </row>
    <row r="271" spans="2:13" x14ac:dyDescent="0.3">
      <c r="B271" t="s">
        <v>153</v>
      </c>
      <c r="C271" s="3" t="s">
        <v>206</v>
      </c>
      <c r="D271" s="132" t="str">
        <f>VLOOKUP(C271,Mapping!$AB$2:$AC$8,2,FALSE)</f>
        <v>Age 2 - 3</v>
      </c>
      <c r="E271" s="132" t="str">
        <f t="shared" si="13"/>
        <v>Frankston (C)Age 2 - 3</v>
      </c>
      <c r="F271" s="132" t="str">
        <f>INDEX(Mapping!$Y:$Y,MATCH($B271,Mapping!$W:$W,0))</f>
        <v>Metro</v>
      </c>
      <c r="G271" s="45">
        <v>2167</v>
      </c>
      <c r="H271" s="45">
        <v>2038</v>
      </c>
      <c r="I271" s="45">
        <v>2012</v>
      </c>
      <c r="J271" s="5"/>
      <c r="K271" s="5"/>
      <c r="L271" s="5"/>
      <c r="M271" s="5"/>
    </row>
    <row r="272" spans="2:13" x14ac:dyDescent="0.3">
      <c r="B272" t="s">
        <v>135</v>
      </c>
      <c r="C272" s="3" t="s">
        <v>206</v>
      </c>
      <c r="D272" s="132" t="str">
        <f>VLOOKUP(C272,Mapping!$AB$2:$AC$8,2,FALSE)</f>
        <v>Age 2 - 3</v>
      </c>
      <c r="E272" s="132" t="str">
        <f t="shared" ref="E272:E335" si="14">B272&amp;D272</f>
        <v>Gannawarra (S)Age 2 - 3</v>
      </c>
      <c r="F272" s="132" t="str">
        <f>INDEX(Mapping!$Y:$Y,MATCH($B272,Mapping!$W:$W,0))</f>
        <v>Rural</v>
      </c>
      <c r="G272" s="45">
        <v>115</v>
      </c>
      <c r="H272" s="45">
        <v>105</v>
      </c>
      <c r="I272" s="45">
        <v>117</v>
      </c>
      <c r="J272" s="5"/>
      <c r="K272" s="5"/>
      <c r="L272" s="5"/>
      <c r="M272" s="5"/>
    </row>
    <row r="273" spans="2:13" x14ac:dyDescent="0.3">
      <c r="B273" t="s">
        <v>154</v>
      </c>
      <c r="C273" s="3" t="s">
        <v>206</v>
      </c>
      <c r="D273" s="132" t="str">
        <f>VLOOKUP(C273,Mapping!$AB$2:$AC$8,2,FALSE)</f>
        <v>Age 2 - 3</v>
      </c>
      <c r="E273" s="132" t="str">
        <f t="shared" si="14"/>
        <v>Glen Eira (C)Age 2 - 3</v>
      </c>
      <c r="F273" s="132" t="str">
        <f>INDEX(Mapping!$Y:$Y,MATCH($B273,Mapping!$W:$W,0))</f>
        <v>Metro</v>
      </c>
      <c r="G273" s="45">
        <v>1729</v>
      </c>
      <c r="H273" s="45">
        <v>1761</v>
      </c>
      <c r="I273" s="45">
        <v>1675</v>
      </c>
      <c r="J273" s="5"/>
      <c r="K273" s="5"/>
      <c r="L273" s="5"/>
      <c r="M273" s="5"/>
    </row>
    <row r="274" spans="2:13" x14ac:dyDescent="0.3">
      <c r="B274" t="s">
        <v>168</v>
      </c>
      <c r="C274" s="3" t="s">
        <v>206</v>
      </c>
      <c r="D274" s="132" t="str">
        <f>VLOOKUP(C274,Mapping!$AB$2:$AC$8,2,FALSE)</f>
        <v>Age 2 - 3</v>
      </c>
      <c r="E274" s="132" t="str">
        <f t="shared" si="14"/>
        <v>Glenelg (S)Age 2 - 3</v>
      </c>
      <c r="F274" s="132" t="str">
        <f>INDEX(Mapping!$Y:$Y,MATCH($B274,Mapping!$W:$W,0))</f>
        <v>Rural</v>
      </c>
      <c r="G274" s="45">
        <v>223</v>
      </c>
      <c r="H274" s="45">
        <v>190</v>
      </c>
      <c r="I274" s="45">
        <v>223</v>
      </c>
      <c r="J274" s="5"/>
      <c r="K274" s="5"/>
      <c r="L274" s="5"/>
      <c r="M274" s="5"/>
    </row>
    <row r="275" spans="2:13" x14ac:dyDescent="0.3">
      <c r="B275" t="s">
        <v>169</v>
      </c>
      <c r="C275" s="3" t="s">
        <v>206</v>
      </c>
      <c r="D275" s="132" t="str">
        <f>VLOOKUP(C275,Mapping!$AB$2:$AC$8,2,FALSE)</f>
        <v>Age 2 - 3</v>
      </c>
      <c r="E275" s="132" t="str">
        <f t="shared" si="14"/>
        <v>Golden Plains (S)Age 2 - 3</v>
      </c>
      <c r="F275" s="132" t="str">
        <f>INDEX(Mapping!$Y:$Y,MATCH($B275,Mapping!$W:$W,0))</f>
        <v>Rural</v>
      </c>
      <c r="G275" s="45">
        <v>264</v>
      </c>
      <c r="H275" s="45">
        <v>269</v>
      </c>
      <c r="I275" s="45">
        <v>274</v>
      </c>
      <c r="J275" s="5"/>
      <c r="K275" s="5"/>
      <c r="L275" s="5"/>
      <c r="M275" s="5"/>
    </row>
    <row r="276" spans="2:13" x14ac:dyDescent="0.3">
      <c r="B276" t="s">
        <v>136</v>
      </c>
      <c r="C276" s="3" t="s">
        <v>206</v>
      </c>
      <c r="D276" s="132" t="str">
        <f>VLOOKUP(C276,Mapping!$AB$2:$AC$8,2,FALSE)</f>
        <v>Age 2 - 3</v>
      </c>
      <c r="E276" s="132" t="str">
        <f t="shared" si="14"/>
        <v>Greater Bendigo (C)Age 2 - 3</v>
      </c>
      <c r="F276" s="132" t="str">
        <f>INDEX(Mapping!$Y:$Y,MATCH($B276,Mapping!$W:$W,0))</f>
        <v>Rural</v>
      </c>
      <c r="G276" s="45">
        <v>1582</v>
      </c>
      <c r="H276" s="45">
        <v>1479</v>
      </c>
      <c r="I276" s="45">
        <v>1508</v>
      </c>
      <c r="J276" s="5"/>
      <c r="K276" s="5"/>
      <c r="L276" s="5"/>
      <c r="M276" s="5"/>
    </row>
    <row r="277" spans="2:13" x14ac:dyDescent="0.3">
      <c r="B277" t="s">
        <v>155</v>
      </c>
      <c r="C277" s="3" t="s">
        <v>206</v>
      </c>
      <c r="D277" s="132" t="str">
        <f>VLOOKUP(C277,Mapping!$AB$2:$AC$8,2,FALSE)</f>
        <v>Age 2 - 3</v>
      </c>
      <c r="E277" s="132" t="str">
        <f t="shared" si="14"/>
        <v>Greater Dandenong (C)Age 2 - 3</v>
      </c>
      <c r="F277" s="132" t="str">
        <f>INDEX(Mapping!$Y:$Y,MATCH($B277,Mapping!$W:$W,0))</f>
        <v>Metro</v>
      </c>
      <c r="G277" s="45">
        <v>2893</v>
      </c>
      <c r="H277" s="45">
        <v>2281</v>
      </c>
      <c r="I277" s="45">
        <v>2338</v>
      </c>
      <c r="J277" s="5"/>
      <c r="K277" s="5"/>
      <c r="L277" s="5"/>
      <c r="M277" s="5"/>
    </row>
    <row r="278" spans="2:13" x14ac:dyDescent="0.3">
      <c r="B278" t="s">
        <v>170</v>
      </c>
      <c r="C278" s="3" t="s">
        <v>206</v>
      </c>
      <c r="D278" s="132" t="str">
        <f>VLOOKUP(C278,Mapping!$AB$2:$AC$8,2,FALSE)</f>
        <v>Age 2 - 3</v>
      </c>
      <c r="E278" s="132" t="str">
        <f t="shared" si="14"/>
        <v>Greater Geelong (C)Age 2 - 3</v>
      </c>
      <c r="F278" s="132" t="str">
        <f>INDEX(Mapping!$Y:$Y,MATCH($B278,Mapping!$W:$W,0))</f>
        <v>Rural</v>
      </c>
      <c r="G278" s="45">
        <v>2896</v>
      </c>
      <c r="H278" s="45">
        <v>3048</v>
      </c>
      <c r="I278" s="45">
        <v>2965</v>
      </c>
      <c r="J278" s="5"/>
      <c r="K278" s="5"/>
      <c r="L278" s="5"/>
      <c r="M278" s="5"/>
    </row>
    <row r="279" spans="2:13" x14ac:dyDescent="0.3">
      <c r="B279" t="s">
        <v>114</v>
      </c>
      <c r="C279" s="3" t="s">
        <v>206</v>
      </c>
      <c r="D279" s="132" t="str">
        <f>VLOOKUP(C279,Mapping!$AB$2:$AC$8,2,FALSE)</f>
        <v>Age 2 - 3</v>
      </c>
      <c r="E279" s="132" t="str">
        <f t="shared" si="14"/>
        <v>Greater Shepparton (C)Age 2 - 3</v>
      </c>
      <c r="F279" s="132" t="str">
        <f>INDEX(Mapping!$Y:$Y,MATCH($B279,Mapping!$W:$W,0))</f>
        <v>Rural</v>
      </c>
      <c r="G279" s="45">
        <v>922</v>
      </c>
      <c r="H279" s="45">
        <v>964</v>
      </c>
      <c r="I279" s="45">
        <v>922</v>
      </c>
      <c r="J279" s="5"/>
      <c r="K279" s="5"/>
      <c r="L279" s="5"/>
      <c r="M279" s="5"/>
    </row>
    <row r="280" spans="2:13" x14ac:dyDescent="0.3">
      <c r="B280" t="s">
        <v>171</v>
      </c>
      <c r="C280" s="3" t="s">
        <v>206</v>
      </c>
      <c r="D280" s="132" t="str">
        <f>VLOOKUP(C280,Mapping!$AB$2:$AC$8,2,FALSE)</f>
        <v>Age 2 - 3</v>
      </c>
      <c r="E280" s="132" t="str">
        <f t="shared" si="14"/>
        <v>Hepburn (S)Age 2 - 3</v>
      </c>
      <c r="F280" s="132" t="str">
        <f>INDEX(Mapping!$Y:$Y,MATCH($B280,Mapping!$W:$W,0))</f>
        <v>Rural</v>
      </c>
      <c r="G280" s="45">
        <v>131</v>
      </c>
      <c r="H280" s="45">
        <v>132</v>
      </c>
      <c r="I280" s="45">
        <v>126</v>
      </c>
      <c r="J280" s="5"/>
      <c r="K280" s="5"/>
      <c r="L280" s="5"/>
      <c r="M280" s="5"/>
    </row>
    <row r="281" spans="2:13" x14ac:dyDescent="0.3">
      <c r="B281" t="s">
        <v>172</v>
      </c>
      <c r="C281" s="3" t="s">
        <v>206</v>
      </c>
      <c r="D281" s="132" t="str">
        <f>VLOOKUP(C281,Mapping!$AB$2:$AC$8,2,FALSE)</f>
        <v>Age 2 - 3</v>
      </c>
      <c r="E281" s="132" t="str">
        <f t="shared" si="14"/>
        <v>Hindmarsh (S)Age 2 - 3</v>
      </c>
      <c r="F281" s="132" t="str">
        <f>INDEX(Mapping!$Y:$Y,MATCH($B281,Mapping!$W:$W,0))</f>
        <v>Rural</v>
      </c>
      <c r="G281" s="45">
        <v>55</v>
      </c>
      <c r="H281" s="45">
        <v>55</v>
      </c>
      <c r="I281" s="45">
        <v>57</v>
      </c>
      <c r="J281" s="5"/>
      <c r="K281" s="5"/>
      <c r="L281" s="5"/>
      <c r="M281" s="5"/>
    </row>
    <row r="282" spans="2:13" x14ac:dyDescent="0.3">
      <c r="B282" t="s">
        <v>173</v>
      </c>
      <c r="C282" s="3" t="s">
        <v>206</v>
      </c>
      <c r="D282" s="132" t="str">
        <f>VLOOKUP(C282,Mapping!$AB$2:$AC$8,2,FALSE)</f>
        <v>Age 2 - 3</v>
      </c>
      <c r="E282" s="132" t="str">
        <f t="shared" si="14"/>
        <v>Hobsons Bay (C)Age 2 - 3</v>
      </c>
      <c r="F282" s="132" t="str">
        <f>INDEX(Mapping!$Y:$Y,MATCH($B282,Mapping!$W:$W,0))</f>
        <v>Metro</v>
      </c>
      <c r="G282" s="45">
        <v>1351</v>
      </c>
      <c r="H282" s="45">
        <v>1297</v>
      </c>
      <c r="I282" s="45">
        <v>1393</v>
      </c>
      <c r="J282" s="5"/>
      <c r="K282" s="5"/>
      <c r="L282" s="5"/>
      <c r="M282" s="5"/>
    </row>
    <row r="283" spans="2:13" x14ac:dyDescent="0.3">
      <c r="B283" t="s">
        <v>174</v>
      </c>
      <c r="C283" s="3" t="s">
        <v>206</v>
      </c>
      <c r="D283" s="132" t="str">
        <f>VLOOKUP(C283,Mapping!$AB$2:$AC$8,2,FALSE)</f>
        <v>Age 2 - 3</v>
      </c>
      <c r="E283" s="132" t="str">
        <f t="shared" si="14"/>
        <v>Horsham (RC)Age 2 - 3</v>
      </c>
      <c r="F283" s="132" t="str">
        <f>INDEX(Mapping!$Y:$Y,MATCH($B283,Mapping!$W:$W,0))</f>
        <v>Rural</v>
      </c>
      <c r="G283" s="45">
        <v>282</v>
      </c>
      <c r="H283" s="45">
        <v>250</v>
      </c>
      <c r="I283" s="45">
        <v>247</v>
      </c>
      <c r="J283" s="5"/>
      <c r="K283" s="5"/>
      <c r="L283" s="5"/>
      <c r="M283" s="5"/>
    </row>
    <row r="284" spans="2:13" x14ac:dyDescent="0.3">
      <c r="B284" t="s">
        <v>137</v>
      </c>
      <c r="C284" s="3" t="s">
        <v>206</v>
      </c>
      <c r="D284" s="132" t="str">
        <f>VLOOKUP(C284,Mapping!$AB$2:$AC$8,2,FALSE)</f>
        <v>Age 2 - 3</v>
      </c>
      <c r="E284" s="132" t="str">
        <f t="shared" si="14"/>
        <v>Hume (C)Age 2 - 3</v>
      </c>
      <c r="F284" s="132" t="str">
        <f>INDEX(Mapping!$Y:$Y,MATCH($B284,Mapping!$W:$W,0))</f>
        <v>Interface</v>
      </c>
      <c r="G284" s="45">
        <v>3290</v>
      </c>
      <c r="H284" s="45">
        <v>3303</v>
      </c>
      <c r="I284" s="45">
        <v>3559</v>
      </c>
      <c r="J284" s="5"/>
      <c r="K284" s="5"/>
      <c r="L284" s="5"/>
      <c r="M284" s="5"/>
    </row>
    <row r="285" spans="2:13" x14ac:dyDescent="0.3">
      <c r="B285" t="s">
        <v>115</v>
      </c>
      <c r="C285" s="3" t="s">
        <v>206</v>
      </c>
      <c r="D285" s="132" t="str">
        <f>VLOOKUP(C285,Mapping!$AB$2:$AC$8,2,FALSE)</f>
        <v>Age 2 - 3</v>
      </c>
      <c r="E285" s="132" t="str">
        <f t="shared" si="14"/>
        <v>Indigo (S)Age 2 - 3</v>
      </c>
      <c r="F285" s="132" t="str">
        <f>INDEX(Mapping!$Y:$Y,MATCH($B285,Mapping!$W:$W,0))</f>
        <v>Rural</v>
      </c>
      <c r="G285" s="45">
        <v>141</v>
      </c>
      <c r="H285" s="45">
        <v>151</v>
      </c>
      <c r="I285" s="45">
        <v>137</v>
      </c>
      <c r="J285" s="5"/>
      <c r="K285" s="5"/>
      <c r="L285" s="5"/>
      <c r="M285" s="5"/>
    </row>
    <row r="286" spans="2:13" x14ac:dyDescent="0.3">
      <c r="B286" t="s">
        <v>156</v>
      </c>
      <c r="C286" s="3" t="s">
        <v>206</v>
      </c>
      <c r="D286" s="132" t="str">
        <f>VLOOKUP(C286,Mapping!$AB$2:$AC$8,2,FALSE)</f>
        <v>Age 2 - 3</v>
      </c>
      <c r="E286" s="132" t="str">
        <f t="shared" si="14"/>
        <v>Kingston (C)Age 2 - 3</v>
      </c>
      <c r="F286" s="132" t="str">
        <f>INDEX(Mapping!$Y:$Y,MATCH($B286,Mapping!$W:$W,0))</f>
        <v>Metro</v>
      </c>
      <c r="G286" s="45">
        <v>1954</v>
      </c>
      <c r="H286" s="45">
        <v>1993</v>
      </c>
      <c r="I286" s="45">
        <v>2073</v>
      </c>
      <c r="J286" s="5"/>
      <c r="K286" s="5"/>
      <c r="L286" s="5"/>
      <c r="M286" s="5"/>
    </row>
    <row r="287" spans="2:13" x14ac:dyDescent="0.3">
      <c r="B287" t="s">
        <v>116</v>
      </c>
      <c r="C287" s="3" t="s">
        <v>206</v>
      </c>
      <c r="D287" s="132" t="str">
        <f>VLOOKUP(C287,Mapping!$AB$2:$AC$8,2,FALSE)</f>
        <v>Age 2 - 3</v>
      </c>
      <c r="E287" s="132" t="str">
        <f t="shared" si="14"/>
        <v>Knox (C)Age 2 - 3</v>
      </c>
      <c r="F287" s="132" t="str">
        <f>INDEX(Mapping!$Y:$Y,MATCH($B287,Mapping!$W:$W,0))</f>
        <v>Metro</v>
      </c>
      <c r="G287" s="45">
        <v>1977</v>
      </c>
      <c r="H287" s="45">
        <v>1781</v>
      </c>
      <c r="I287" s="45">
        <v>1851</v>
      </c>
      <c r="J287" s="5"/>
      <c r="K287" s="5"/>
      <c r="L287" s="5"/>
      <c r="M287" s="5"/>
    </row>
    <row r="288" spans="2:13" x14ac:dyDescent="0.3">
      <c r="B288" t="s">
        <v>157</v>
      </c>
      <c r="C288" s="3" t="s">
        <v>206</v>
      </c>
      <c r="D288" s="132" t="str">
        <f>VLOOKUP(C288,Mapping!$AB$2:$AC$8,2,FALSE)</f>
        <v>Age 2 - 3</v>
      </c>
      <c r="E288" s="132" t="str">
        <f t="shared" si="14"/>
        <v>Latrobe (C)Age 2 - 3</v>
      </c>
      <c r="F288" s="132" t="str">
        <f>INDEX(Mapping!$Y:$Y,MATCH($B288,Mapping!$W:$W,0))</f>
        <v>Rural</v>
      </c>
      <c r="G288" s="45">
        <v>1026</v>
      </c>
      <c r="H288" s="45">
        <v>943</v>
      </c>
      <c r="I288" s="45">
        <v>1000</v>
      </c>
      <c r="J288" s="5"/>
      <c r="K288" s="5"/>
      <c r="L288" s="5"/>
      <c r="M288" s="5"/>
    </row>
    <row r="289" spans="2:13" x14ac:dyDescent="0.3">
      <c r="B289" t="s">
        <v>138</v>
      </c>
      <c r="C289" s="3" t="s">
        <v>206</v>
      </c>
      <c r="D289" s="132" t="str">
        <f>VLOOKUP(C289,Mapping!$AB$2:$AC$8,2,FALSE)</f>
        <v>Age 2 - 3</v>
      </c>
      <c r="E289" s="132" t="str">
        <f t="shared" si="14"/>
        <v>Loddon (S)Age 2 - 3</v>
      </c>
      <c r="F289" s="132" t="str">
        <f>INDEX(Mapping!$Y:$Y,MATCH($B289,Mapping!$W:$W,0))</f>
        <v>Rural</v>
      </c>
      <c r="G289" s="45">
        <v>74</v>
      </c>
      <c r="H289" s="45">
        <v>72</v>
      </c>
      <c r="I289" s="45">
        <v>76</v>
      </c>
      <c r="J289" s="5"/>
      <c r="K289" s="5"/>
      <c r="L289" s="5"/>
      <c r="M289" s="5"/>
    </row>
    <row r="290" spans="2:13" x14ac:dyDescent="0.3">
      <c r="B290" t="s">
        <v>139</v>
      </c>
      <c r="C290" s="3" t="s">
        <v>206</v>
      </c>
      <c r="D290" s="132" t="str">
        <f>VLOOKUP(C290,Mapping!$AB$2:$AC$8,2,FALSE)</f>
        <v>Age 2 - 3</v>
      </c>
      <c r="E290" s="132" t="str">
        <f t="shared" si="14"/>
        <v>Macedon Ranges (S)Age 2 - 3</v>
      </c>
      <c r="F290" s="132" t="str">
        <f>INDEX(Mapping!$Y:$Y,MATCH($B290,Mapping!$W:$W,0))</f>
        <v>Rural</v>
      </c>
      <c r="G290" s="45">
        <v>620</v>
      </c>
      <c r="H290" s="45">
        <v>529</v>
      </c>
      <c r="I290" s="45">
        <v>586</v>
      </c>
      <c r="J290" s="5"/>
      <c r="K290" s="5"/>
      <c r="L290" s="5"/>
      <c r="M290" s="5"/>
    </row>
    <row r="291" spans="2:13" x14ac:dyDescent="0.3">
      <c r="B291" t="s">
        <v>117</v>
      </c>
      <c r="C291" s="3" t="s">
        <v>206</v>
      </c>
      <c r="D291" s="132" t="str">
        <f>VLOOKUP(C291,Mapping!$AB$2:$AC$8,2,FALSE)</f>
        <v>Age 2 - 3</v>
      </c>
      <c r="E291" s="132" t="str">
        <f t="shared" si="14"/>
        <v>Manningham (C)Age 2 - 3</v>
      </c>
      <c r="F291" s="132" t="str">
        <f>INDEX(Mapping!$Y:$Y,MATCH($B291,Mapping!$W:$W,0))</f>
        <v>Metro</v>
      </c>
      <c r="G291" s="45">
        <v>1140</v>
      </c>
      <c r="H291" s="45">
        <v>1201</v>
      </c>
      <c r="I291" s="45">
        <v>1123</v>
      </c>
      <c r="J291" s="5"/>
      <c r="K291" s="5"/>
      <c r="L291" s="5"/>
      <c r="M291" s="5"/>
    </row>
    <row r="292" spans="2:13" x14ac:dyDescent="0.3">
      <c r="B292" t="s">
        <v>118</v>
      </c>
      <c r="C292" s="3" t="s">
        <v>206</v>
      </c>
      <c r="D292" s="132" t="str">
        <f>VLOOKUP(C292,Mapping!$AB$2:$AC$8,2,FALSE)</f>
        <v>Age 2 - 3</v>
      </c>
      <c r="E292" s="132" t="str">
        <f t="shared" si="14"/>
        <v>Mansfield (S)Age 2 - 3</v>
      </c>
      <c r="F292" s="132" t="str">
        <f>INDEX(Mapping!$Y:$Y,MATCH($B292,Mapping!$W:$W,0))</f>
        <v>Rural</v>
      </c>
      <c r="G292" s="45">
        <v>86</v>
      </c>
      <c r="H292" s="45">
        <v>95</v>
      </c>
      <c r="I292" s="45">
        <v>84</v>
      </c>
      <c r="J292" s="5"/>
      <c r="K292" s="5"/>
      <c r="L292" s="5"/>
      <c r="M292" s="5"/>
    </row>
    <row r="293" spans="2:13" x14ac:dyDescent="0.3">
      <c r="B293" t="s">
        <v>175</v>
      </c>
      <c r="C293" s="3" t="s">
        <v>206</v>
      </c>
      <c r="D293" s="132" t="str">
        <f>VLOOKUP(C293,Mapping!$AB$2:$AC$8,2,FALSE)</f>
        <v>Age 2 - 3</v>
      </c>
      <c r="E293" s="132" t="str">
        <f t="shared" si="14"/>
        <v>Maribyrnong (C)Age 2 - 3</v>
      </c>
      <c r="F293" s="132" t="str">
        <f>INDEX(Mapping!$Y:$Y,MATCH($B293,Mapping!$W:$W,0))</f>
        <v>Metro</v>
      </c>
      <c r="G293" s="45">
        <v>1321</v>
      </c>
      <c r="H293" s="45">
        <v>1263</v>
      </c>
      <c r="I293" s="45">
        <v>1216</v>
      </c>
      <c r="J293" s="5"/>
      <c r="K293" s="5"/>
      <c r="L293" s="5"/>
      <c r="M293" s="5"/>
    </row>
    <row r="294" spans="2:13" x14ac:dyDescent="0.3">
      <c r="B294" t="s">
        <v>119</v>
      </c>
      <c r="C294" s="3" t="s">
        <v>206</v>
      </c>
      <c r="D294" s="132" t="str">
        <f>VLOOKUP(C294,Mapping!$AB$2:$AC$8,2,FALSE)</f>
        <v>Age 2 - 3</v>
      </c>
      <c r="E294" s="132" t="str">
        <f t="shared" si="14"/>
        <v>Maroondah (C)Age 2 - 3</v>
      </c>
      <c r="F294" s="132" t="str">
        <f>INDEX(Mapping!$Y:$Y,MATCH($B294,Mapping!$W:$W,0))</f>
        <v>Metro</v>
      </c>
      <c r="G294" s="45">
        <v>1588</v>
      </c>
      <c r="H294" s="45">
        <v>1595</v>
      </c>
      <c r="I294" s="45">
        <v>1620</v>
      </c>
      <c r="J294" s="5"/>
      <c r="K294" s="5"/>
      <c r="L294" s="5"/>
      <c r="M294" s="5"/>
    </row>
    <row r="295" spans="2:13" x14ac:dyDescent="0.3">
      <c r="B295" t="s">
        <v>176</v>
      </c>
      <c r="C295" s="3" t="s">
        <v>206</v>
      </c>
      <c r="D295" s="132" t="str">
        <f>VLOOKUP(C295,Mapping!$AB$2:$AC$8,2,FALSE)</f>
        <v>Age 2 - 3</v>
      </c>
      <c r="E295" s="132" t="str">
        <f t="shared" si="14"/>
        <v>Melbourne (C)Age 2 - 3</v>
      </c>
      <c r="F295" s="132" t="str">
        <f>INDEX(Mapping!$Y:$Y,MATCH($B295,Mapping!$W:$W,0))</f>
        <v>Metro</v>
      </c>
      <c r="G295" s="45">
        <v>1012</v>
      </c>
      <c r="H295" s="45">
        <v>1093</v>
      </c>
      <c r="I295" s="45">
        <v>1228</v>
      </c>
      <c r="J295" s="5"/>
      <c r="K295" s="5"/>
      <c r="L295" s="5"/>
      <c r="M295" s="5"/>
    </row>
    <row r="296" spans="2:13" x14ac:dyDescent="0.3">
      <c r="B296" t="s">
        <v>177</v>
      </c>
      <c r="C296" s="3" t="s">
        <v>206</v>
      </c>
      <c r="D296" s="132" t="str">
        <f>VLOOKUP(C296,Mapping!$AB$2:$AC$8,2,FALSE)</f>
        <v>Age 2 - 3</v>
      </c>
      <c r="E296" s="132" t="str">
        <f t="shared" si="14"/>
        <v>Melton (C)Age 2 - 3</v>
      </c>
      <c r="F296" s="132" t="str">
        <f>INDEX(Mapping!$Y:$Y,MATCH($B296,Mapping!$W:$W,0))</f>
        <v>Interface</v>
      </c>
      <c r="G296" s="45">
        <v>2308</v>
      </c>
      <c r="H296" s="45">
        <v>2390</v>
      </c>
      <c r="I296" s="45">
        <v>2540</v>
      </c>
      <c r="J296" s="5"/>
      <c r="K296" s="5"/>
      <c r="L296" s="5"/>
      <c r="M296" s="5"/>
    </row>
    <row r="297" spans="2:13" x14ac:dyDescent="0.3">
      <c r="B297" t="s">
        <v>140</v>
      </c>
      <c r="C297" s="3" t="s">
        <v>206</v>
      </c>
      <c r="D297" s="132" t="str">
        <f>VLOOKUP(C297,Mapping!$AB$2:$AC$8,2,FALSE)</f>
        <v>Age 2 - 3</v>
      </c>
      <c r="E297" s="132" t="str">
        <f t="shared" si="14"/>
        <v>Mildura (RC)Age 2 - 3</v>
      </c>
      <c r="F297" s="132" t="str">
        <f>INDEX(Mapping!$Y:$Y,MATCH($B297,Mapping!$W:$W,0))</f>
        <v>Rural</v>
      </c>
      <c r="G297" s="45">
        <v>730</v>
      </c>
      <c r="H297" s="45">
        <v>662</v>
      </c>
      <c r="I297" s="45">
        <v>703</v>
      </c>
      <c r="J297" s="5"/>
      <c r="K297" s="5"/>
      <c r="L297" s="5"/>
      <c r="M297" s="5"/>
    </row>
    <row r="298" spans="2:13" x14ac:dyDescent="0.3">
      <c r="B298" t="s">
        <v>120</v>
      </c>
      <c r="C298" s="3" t="s">
        <v>206</v>
      </c>
      <c r="D298" s="132" t="str">
        <f>VLOOKUP(C298,Mapping!$AB$2:$AC$8,2,FALSE)</f>
        <v>Age 2 - 3</v>
      </c>
      <c r="E298" s="132" t="str">
        <f t="shared" si="14"/>
        <v>Mitchell (S)Age 2 - 3</v>
      </c>
      <c r="F298" s="132" t="str">
        <f>INDEX(Mapping!$Y:$Y,MATCH($B298,Mapping!$W:$W,0))</f>
        <v>Interface</v>
      </c>
      <c r="G298" s="45">
        <v>624</v>
      </c>
      <c r="H298" s="45">
        <v>593</v>
      </c>
      <c r="I298" s="45">
        <v>583</v>
      </c>
      <c r="J298" s="5"/>
      <c r="K298" s="5"/>
      <c r="L298" s="5"/>
      <c r="M298" s="5"/>
    </row>
    <row r="299" spans="2:13" x14ac:dyDescent="0.3">
      <c r="B299" t="s">
        <v>121</v>
      </c>
      <c r="C299" s="3" t="s">
        <v>206</v>
      </c>
      <c r="D299" s="132" t="str">
        <f>VLOOKUP(C299,Mapping!$AB$2:$AC$8,2,FALSE)</f>
        <v>Age 2 - 3</v>
      </c>
      <c r="E299" s="132" t="str">
        <f t="shared" si="14"/>
        <v>Moira (S)Age 2 - 3</v>
      </c>
      <c r="F299" s="132" t="str">
        <f>INDEX(Mapping!$Y:$Y,MATCH($B299,Mapping!$W:$W,0))</f>
        <v>Rural</v>
      </c>
      <c r="G299" s="45">
        <v>413</v>
      </c>
      <c r="H299" s="45">
        <v>365</v>
      </c>
      <c r="I299" s="45">
        <v>356</v>
      </c>
      <c r="J299" s="5"/>
      <c r="K299" s="5"/>
      <c r="L299" s="5"/>
      <c r="M299" s="5"/>
    </row>
    <row r="300" spans="2:13" x14ac:dyDescent="0.3">
      <c r="B300" t="s">
        <v>122</v>
      </c>
      <c r="C300" s="3" t="s">
        <v>206</v>
      </c>
      <c r="D300" s="132" t="str">
        <f>VLOOKUP(C300,Mapping!$AB$2:$AC$8,2,FALSE)</f>
        <v>Age 2 - 3</v>
      </c>
      <c r="E300" s="132" t="str">
        <f t="shared" si="14"/>
        <v>Monash (C)Age 2 - 3</v>
      </c>
      <c r="F300" s="132" t="str">
        <f>INDEX(Mapping!$Y:$Y,MATCH($B300,Mapping!$W:$W,0))</f>
        <v>Metro</v>
      </c>
      <c r="G300" s="45">
        <v>1992</v>
      </c>
      <c r="H300" s="45">
        <v>1955</v>
      </c>
      <c r="I300" s="45">
        <v>1848</v>
      </c>
      <c r="J300" s="5"/>
      <c r="K300" s="5"/>
      <c r="L300" s="5"/>
      <c r="M300" s="5"/>
    </row>
    <row r="301" spans="2:13" x14ac:dyDescent="0.3">
      <c r="B301" t="s">
        <v>178</v>
      </c>
      <c r="C301" s="3" t="s">
        <v>206</v>
      </c>
      <c r="D301" s="132" t="str">
        <f>VLOOKUP(C301,Mapping!$AB$2:$AC$8,2,FALSE)</f>
        <v>Age 2 - 3</v>
      </c>
      <c r="E301" s="132" t="str">
        <f t="shared" si="14"/>
        <v>Moonee Valley (C)Age 2 - 3</v>
      </c>
      <c r="F301" s="132" t="str">
        <f>INDEX(Mapping!$Y:$Y,MATCH($B301,Mapping!$W:$W,0))</f>
        <v>Metro</v>
      </c>
      <c r="G301" s="45">
        <v>1450</v>
      </c>
      <c r="H301" s="45">
        <v>1359</v>
      </c>
      <c r="I301" s="45">
        <v>1478</v>
      </c>
      <c r="J301" s="5"/>
      <c r="K301" s="5"/>
      <c r="L301" s="5"/>
      <c r="M301" s="5"/>
    </row>
    <row r="302" spans="2:13" x14ac:dyDescent="0.3">
      <c r="B302" t="s">
        <v>179</v>
      </c>
      <c r="C302" s="3" t="s">
        <v>206</v>
      </c>
      <c r="D302" s="132" t="str">
        <f>VLOOKUP(C302,Mapping!$AB$2:$AC$8,2,FALSE)</f>
        <v>Age 2 - 3</v>
      </c>
      <c r="E302" s="132" t="str">
        <f t="shared" si="14"/>
        <v>Moorabool (S)Age 2 - 3</v>
      </c>
      <c r="F302" s="132" t="str">
        <f>INDEX(Mapping!$Y:$Y,MATCH($B302,Mapping!$W:$W,0))</f>
        <v>Rural</v>
      </c>
      <c r="G302" s="45">
        <v>421</v>
      </c>
      <c r="H302" s="45">
        <v>391</v>
      </c>
      <c r="I302" s="45">
        <v>388</v>
      </c>
      <c r="J302" s="5"/>
      <c r="K302" s="5"/>
      <c r="L302" s="5"/>
      <c r="M302" s="5"/>
    </row>
    <row r="303" spans="2:13" x14ac:dyDescent="0.3">
      <c r="B303" t="s">
        <v>141</v>
      </c>
      <c r="C303" s="3" t="s">
        <v>206</v>
      </c>
      <c r="D303" s="132" t="str">
        <f>VLOOKUP(C303,Mapping!$AB$2:$AC$8,2,FALSE)</f>
        <v>Age 2 - 3</v>
      </c>
      <c r="E303" s="132" t="str">
        <f t="shared" si="14"/>
        <v>Moreland (C)Age 2 - 3</v>
      </c>
      <c r="F303" s="132" t="str">
        <f>INDEX(Mapping!$Y:$Y,MATCH($B303,Mapping!$W:$W,0))</f>
        <v>Metro</v>
      </c>
      <c r="G303" s="45">
        <v>2469</v>
      </c>
      <c r="H303" s="45">
        <v>2565</v>
      </c>
      <c r="I303" s="45">
        <v>2528</v>
      </c>
      <c r="J303" s="5"/>
      <c r="K303" s="5"/>
      <c r="L303" s="5"/>
      <c r="M303" s="5"/>
    </row>
    <row r="304" spans="2:13" x14ac:dyDescent="0.3">
      <c r="B304" t="s">
        <v>158</v>
      </c>
      <c r="C304" s="3" t="s">
        <v>206</v>
      </c>
      <c r="D304" s="132" t="str">
        <f>VLOOKUP(C304,Mapping!$AB$2:$AC$8,2,FALSE)</f>
        <v>Age 2 - 3</v>
      </c>
      <c r="E304" s="132" t="str">
        <f t="shared" si="14"/>
        <v>Mornington Peninsula (S)Age 2 - 3</v>
      </c>
      <c r="F304" s="132" t="str">
        <f>INDEX(Mapping!$Y:$Y,MATCH($B304,Mapping!$W:$W,0))</f>
        <v>Interface</v>
      </c>
      <c r="G304" s="45">
        <v>1806</v>
      </c>
      <c r="H304" s="45">
        <v>1645</v>
      </c>
      <c r="I304" s="45">
        <v>1740</v>
      </c>
      <c r="J304" s="5"/>
      <c r="K304" s="5"/>
      <c r="L304" s="5"/>
      <c r="M304" s="5"/>
    </row>
    <row r="305" spans="2:13" x14ac:dyDescent="0.3">
      <c r="B305" t="s">
        <v>142</v>
      </c>
      <c r="C305" s="3" t="s">
        <v>206</v>
      </c>
      <c r="D305" s="132" t="str">
        <f>VLOOKUP(C305,Mapping!$AB$2:$AC$8,2,FALSE)</f>
        <v>Age 2 - 3</v>
      </c>
      <c r="E305" s="132" t="str">
        <f t="shared" si="14"/>
        <v>Mount Alexander (S)Age 2 - 3</v>
      </c>
      <c r="F305" s="132" t="str">
        <f>INDEX(Mapping!$Y:$Y,MATCH($B305,Mapping!$W:$W,0))</f>
        <v>Rural</v>
      </c>
      <c r="G305" s="45">
        <v>201</v>
      </c>
      <c r="H305" s="45">
        <v>166</v>
      </c>
      <c r="I305" s="45">
        <v>180</v>
      </c>
      <c r="J305" s="5"/>
      <c r="K305" s="5"/>
      <c r="L305" s="5"/>
      <c r="M305" s="5"/>
    </row>
    <row r="306" spans="2:13" x14ac:dyDescent="0.3">
      <c r="B306" t="s">
        <v>180</v>
      </c>
      <c r="C306" s="3" t="s">
        <v>206</v>
      </c>
      <c r="D306" s="132" t="str">
        <f>VLOOKUP(C306,Mapping!$AB$2:$AC$8,2,FALSE)</f>
        <v>Age 2 - 3</v>
      </c>
      <c r="E306" s="132" t="str">
        <f t="shared" si="14"/>
        <v>Moyne (S)Age 2 - 3</v>
      </c>
      <c r="F306" s="132" t="str">
        <f>INDEX(Mapping!$Y:$Y,MATCH($B306,Mapping!$W:$W,0))</f>
        <v>Rural</v>
      </c>
      <c r="G306" s="45">
        <v>190</v>
      </c>
      <c r="H306" s="45">
        <v>188</v>
      </c>
      <c r="I306" s="45">
        <v>156</v>
      </c>
      <c r="J306" s="5"/>
      <c r="K306" s="5"/>
      <c r="L306" s="5"/>
      <c r="M306" s="5"/>
    </row>
    <row r="307" spans="2:13" x14ac:dyDescent="0.3">
      <c r="B307" t="s">
        <v>123</v>
      </c>
      <c r="C307" s="3" t="s">
        <v>206</v>
      </c>
      <c r="D307" s="132" t="str">
        <f>VLOOKUP(C307,Mapping!$AB$2:$AC$8,2,FALSE)</f>
        <v>Age 2 - 3</v>
      </c>
      <c r="E307" s="132" t="str">
        <f t="shared" si="14"/>
        <v>Murrindindi (S)Age 2 - 3</v>
      </c>
      <c r="F307" s="132" t="str">
        <f>INDEX(Mapping!$Y:$Y,MATCH($B307,Mapping!$W:$W,0))</f>
        <v>Rural</v>
      </c>
      <c r="G307" s="45">
        <v>137</v>
      </c>
      <c r="H307" s="45">
        <v>121</v>
      </c>
      <c r="I307" s="45">
        <v>123</v>
      </c>
      <c r="J307" s="5"/>
      <c r="K307" s="5"/>
      <c r="L307" s="5"/>
      <c r="M307" s="5"/>
    </row>
    <row r="308" spans="2:13" x14ac:dyDescent="0.3">
      <c r="B308" t="s">
        <v>143</v>
      </c>
      <c r="C308" s="3" t="s">
        <v>206</v>
      </c>
      <c r="D308" s="132" t="str">
        <f>VLOOKUP(C308,Mapping!$AB$2:$AC$8,2,FALSE)</f>
        <v>Age 2 - 3</v>
      </c>
      <c r="E308" s="132" t="str">
        <f t="shared" si="14"/>
        <v>Nillumbik (S)Age 2 - 3</v>
      </c>
      <c r="F308" s="132" t="str">
        <f>INDEX(Mapping!$Y:$Y,MATCH($B308,Mapping!$W:$W,0))</f>
        <v>Interface</v>
      </c>
      <c r="G308" s="45">
        <v>712</v>
      </c>
      <c r="H308" s="45">
        <v>657</v>
      </c>
      <c r="I308" s="45">
        <v>638</v>
      </c>
      <c r="J308" s="5"/>
      <c r="K308" s="5"/>
      <c r="L308" s="5"/>
      <c r="M308" s="5"/>
    </row>
    <row r="309" spans="2:13" x14ac:dyDescent="0.3">
      <c r="B309" t="s">
        <v>181</v>
      </c>
      <c r="C309" s="3" t="s">
        <v>206</v>
      </c>
      <c r="D309" s="132" t="str">
        <f>VLOOKUP(C309,Mapping!$AB$2:$AC$8,2,FALSE)</f>
        <v>Age 2 - 3</v>
      </c>
      <c r="E309" s="132" t="str">
        <f t="shared" si="14"/>
        <v>Northern Grampians (S)Age 2 - 3</v>
      </c>
      <c r="F309" s="132" t="str">
        <f>INDEX(Mapping!$Y:$Y,MATCH($B309,Mapping!$W:$W,0))</f>
        <v>Rural</v>
      </c>
      <c r="G309" s="45">
        <v>107</v>
      </c>
      <c r="H309" s="45">
        <v>86</v>
      </c>
      <c r="I309" s="45">
        <v>110</v>
      </c>
      <c r="J309" s="5"/>
      <c r="K309" s="5"/>
      <c r="L309" s="5"/>
      <c r="M309" s="5"/>
    </row>
    <row r="310" spans="2:13" x14ac:dyDescent="0.3">
      <c r="B310" t="s">
        <v>159</v>
      </c>
      <c r="C310" s="3" t="s">
        <v>206</v>
      </c>
      <c r="D310" s="132" t="str">
        <f>VLOOKUP(C310,Mapping!$AB$2:$AC$8,2,FALSE)</f>
        <v>Age 2 - 3</v>
      </c>
      <c r="E310" s="132" t="str">
        <f t="shared" si="14"/>
        <v>Port Phillip (C)Age 2 - 3</v>
      </c>
      <c r="F310" s="132" t="str">
        <f>INDEX(Mapping!$Y:$Y,MATCH($B310,Mapping!$W:$W,0))</f>
        <v>Metro</v>
      </c>
      <c r="G310" s="45">
        <v>1298</v>
      </c>
      <c r="H310" s="45">
        <v>1274</v>
      </c>
      <c r="I310" s="45">
        <v>1230</v>
      </c>
      <c r="J310" s="5"/>
      <c r="K310" s="5"/>
      <c r="L310" s="5"/>
      <c r="M310" s="5"/>
    </row>
    <row r="311" spans="2:13" x14ac:dyDescent="0.3">
      <c r="B311" t="s">
        <v>182</v>
      </c>
      <c r="C311" s="3" t="s">
        <v>206</v>
      </c>
      <c r="D311" s="132" t="str">
        <f>VLOOKUP(C311,Mapping!$AB$2:$AC$8,2,FALSE)</f>
        <v>Age 2 - 3</v>
      </c>
      <c r="E311" s="132" t="str">
        <f t="shared" si="14"/>
        <v>Pyrenees (S)Age 2 - 3</v>
      </c>
      <c r="F311" s="132" t="str">
        <f>INDEX(Mapping!$Y:$Y,MATCH($B311,Mapping!$W:$W,0))</f>
        <v>Rural</v>
      </c>
      <c r="G311" s="45">
        <v>65</v>
      </c>
      <c r="H311" s="45">
        <v>75</v>
      </c>
      <c r="I311" s="45">
        <v>58</v>
      </c>
      <c r="J311" s="5"/>
      <c r="K311" s="5"/>
      <c r="L311" s="5"/>
      <c r="M311" s="5"/>
    </row>
    <row r="312" spans="2:13" x14ac:dyDescent="0.3">
      <c r="B312" t="s">
        <v>183</v>
      </c>
      <c r="C312" s="3" t="s">
        <v>206</v>
      </c>
      <c r="D312" s="132" t="str">
        <f>VLOOKUP(C312,Mapping!$AB$2:$AC$8,2,FALSE)</f>
        <v>Age 2 - 3</v>
      </c>
      <c r="E312" s="132" t="str">
        <f t="shared" si="14"/>
        <v>Queenscliffe (B)Age 2 - 3</v>
      </c>
      <c r="F312" s="132" t="str">
        <f>INDEX(Mapping!$Y:$Y,MATCH($B312,Mapping!$W:$W,0))</f>
        <v>Rural</v>
      </c>
      <c r="G312" s="45">
        <v>21</v>
      </c>
      <c r="H312" s="45">
        <v>19</v>
      </c>
      <c r="I312" s="45">
        <v>21</v>
      </c>
      <c r="J312" s="5"/>
      <c r="K312" s="5"/>
      <c r="L312" s="5"/>
      <c r="M312" s="5"/>
    </row>
    <row r="313" spans="2:13" x14ac:dyDescent="0.3">
      <c r="B313" t="s">
        <v>160</v>
      </c>
      <c r="C313" s="3" t="s">
        <v>206</v>
      </c>
      <c r="D313" s="132" t="str">
        <f>VLOOKUP(C313,Mapping!$AB$2:$AC$8,2,FALSE)</f>
        <v>Age 2 - 3</v>
      </c>
      <c r="E313" s="132" t="str">
        <f t="shared" si="14"/>
        <v>South Gippsland (S)Age 2 - 3</v>
      </c>
      <c r="F313" s="132" t="str">
        <f>INDEX(Mapping!$Y:$Y,MATCH($B313,Mapping!$W:$W,0))</f>
        <v>Rural</v>
      </c>
      <c r="G313" s="45">
        <v>316</v>
      </c>
      <c r="H313" s="45">
        <v>308</v>
      </c>
      <c r="I313" s="45">
        <v>332</v>
      </c>
      <c r="J313" s="5"/>
      <c r="K313" s="5"/>
      <c r="L313" s="5"/>
      <c r="M313" s="5"/>
    </row>
    <row r="314" spans="2:13" x14ac:dyDescent="0.3">
      <c r="B314" t="s">
        <v>184</v>
      </c>
      <c r="C314" s="3" t="s">
        <v>206</v>
      </c>
      <c r="D314" s="132" t="str">
        <f>VLOOKUP(C314,Mapping!$AB$2:$AC$8,2,FALSE)</f>
        <v>Age 2 - 3</v>
      </c>
      <c r="E314" s="132" t="str">
        <f t="shared" si="14"/>
        <v>Southern Grampians (S)Age 2 - 3</v>
      </c>
      <c r="F314" s="132" t="str">
        <f>INDEX(Mapping!$Y:$Y,MATCH($B314,Mapping!$W:$W,0))</f>
        <v>Rural</v>
      </c>
      <c r="G314" s="45">
        <v>206</v>
      </c>
      <c r="H314" s="45">
        <v>186</v>
      </c>
      <c r="I314" s="45">
        <v>175</v>
      </c>
      <c r="J314" s="5"/>
      <c r="K314" s="5"/>
      <c r="L314" s="5"/>
      <c r="M314" s="5"/>
    </row>
    <row r="315" spans="2:13" x14ac:dyDescent="0.3">
      <c r="B315" t="s">
        <v>161</v>
      </c>
      <c r="C315" s="3" t="s">
        <v>206</v>
      </c>
      <c r="D315" s="132" t="str">
        <f>VLOOKUP(C315,Mapping!$AB$2:$AC$8,2,FALSE)</f>
        <v>Age 2 - 3</v>
      </c>
      <c r="E315" s="132" t="str">
        <f t="shared" si="14"/>
        <v>Stonnington (C)Age 2 - 3</v>
      </c>
      <c r="F315" s="132" t="str">
        <f>INDEX(Mapping!$Y:$Y,MATCH($B315,Mapping!$W:$W,0))</f>
        <v>Metro</v>
      </c>
      <c r="G315" s="45">
        <v>1288</v>
      </c>
      <c r="H315" s="45">
        <v>978</v>
      </c>
      <c r="I315" s="45">
        <v>951</v>
      </c>
      <c r="J315" s="5"/>
      <c r="K315" s="5"/>
      <c r="L315" s="5"/>
      <c r="M315" s="5"/>
    </row>
    <row r="316" spans="2:13" x14ac:dyDescent="0.3">
      <c r="B316" t="s">
        <v>124</v>
      </c>
      <c r="C316" s="3" t="s">
        <v>206</v>
      </c>
      <c r="D316" s="132" t="str">
        <f>VLOOKUP(C316,Mapping!$AB$2:$AC$8,2,FALSE)</f>
        <v>Age 2 - 3</v>
      </c>
      <c r="E316" s="132" t="str">
        <f t="shared" si="14"/>
        <v>Strathbogie (S)Age 2 - 3</v>
      </c>
      <c r="F316" s="132" t="str">
        <f>INDEX(Mapping!$Y:$Y,MATCH($B316,Mapping!$W:$W,0))</f>
        <v>Rural</v>
      </c>
      <c r="G316" s="45">
        <v>88</v>
      </c>
      <c r="H316" s="45">
        <v>96</v>
      </c>
      <c r="I316" s="45">
        <v>88</v>
      </c>
      <c r="J316" s="5"/>
      <c r="K316" s="5"/>
      <c r="L316" s="5"/>
      <c r="M316" s="5"/>
    </row>
    <row r="317" spans="2:13" x14ac:dyDescent="0.3">
      <c r="B317" t="s">
        <v>185</v>
      </c>
      <c r="C317" s="3" t="s">
        <v>206</v>
      </c>
      <c r="D317" s="132" t="str">
        <f>VLOOKUP(C317,Mapping!$AB$2:$AC$8,2,FALSE)</f>
        <v>Age 2 - 3</v>
      </c>
      <c r="E317" s="132" t="str">
        <f t="shared" si="14"/>
        <v>Surf Coast (S)Age 2 - 3</v>
      </c>
      <c r="F317" s="132" t="str">
        <f>INDEX(Mapping!$Y:$Y,MATCH($B317,Mapping!$W:$W,0))</f>
        <v>Rural</v>
      </c>
      <c r="G317" s="45">
        <v>364</v>
      </c>
      <c r="H317" s="45">
        <v>320</v>
      </c>
      <c r="I317" s="45">
        <v>364</v>
      </c>
      <c r="J317" s="5"/>
      <c r="K317" s="5"/>
      <c r="L317" s="5"/>
      <c r="M317" s="5"/>
    </row>
    <row r="318" spans="2:13" x14ac:dyDescent="0.3">
      <c r="B318" t="s">
        <v>144</v>
      </c>
      <c r="C318" s="3" t="s">
        <v>206</v>
      </c>
      <c r="D318" s="132" t="str">
        <f>VLOOKUP(C318,Mapping!$AB$2:$AC$8,2,FALSE)</f>
        <v>Age 2 - 3</v>
      </c>
      <c r="E318" s="132" t="str">
        <f t="shared" si="14"/>
        <v>Swan Hill (RC)Age 2 - 3</v>
      </c>
      <c r="F318" s="132" t="str">
        <f>INDEX(Mapping!$Y:$Y,MATCH($B318,Mapping!$W:$W,0))</f>
        <v>Rural</v>
      </c>
      <c r="G318" s="45">
        <v>315</v>
      </c>
      <c r="H318" s="45">
        <v>303</v>
      </c>
      <c r="I318" s="45">
        <v>319</v>
      </c>
      <c r="J318" s="5"/>
      <c r="K318" s="5"/>
      <c r="L318" s="5"/>
      <c r="M318" s="5"/>
    </row>
    <row r="319" spans="2:13" x14ac:dyDescent="0.3">
      <c r="B319" t="s">
        <v>125</v>
      </c>
      <c r="C319" s="3" t="s">
        <v>206</v>
      </c>
      <c r="D319" s="132" t="str">
        <f>VLOOKUP(C319,Mapping!$AB$2:$AC$8,2,FALSE)</f>
        <v>Age 2 - 3</v>
      </c>
      <c r="E319" s="132" t="str">
        <f t="shared" si="14"/>
        <v>Towong (S)Age 2 - 3</v>
      </c>
      <c r="F319" s="132" t="str">
        <f>INDEX(Mapping!$Y:$Y,MATCH($B319,Mapping!$W:$W,0))</f>
        <v>Rural</v>
      </c>
      <c r="G319" s="45">
        <v>63</v>
      </c>
      <c r="H319" s="45">
        <v>61</v>
      </c>
      <c r="I319" s="45">
        <v>60</v>
      </c>
      <c r="J319" s="5"/>
      <c r="K319" s="5"/>
      <c r="L319" s="5"/>
      <c r="M319" s="5"/>
    </row>
    <row r="320" spans="2:13" x14ac:dyDescent="0.3">
      <c r="B320" t="s">
        <v>126</v>
      </c>
      <c r="C320" s="3" t="s">
        <v>206</v>
      </c>
      <c r="D320" s="132" t="str">
        <f>VLOOKUP(C320,Mapping!$AB$2:$AC$8,2,FALSE)</f>
        <v>Age 2 - 3</v>
      </c>
      <c r="E320" s="132" t="str">
        <f t="shared" si="14"/>
        <v>Wangaratta (RC)Age 2 - 3</v>
      </c>
      <c r="F320" s="132" t="str">
        <f>INDEX(Mapping!$Y:$Y,MATCH($B320,Mapping!$W:$W,0))</f>
        <v>Rural</v>
      </c>
      <c r="G320" s="45">
        <v>308</v>
      </c>
      <c r="H320" s="45">
        <v>325</v>
      </c>
      <c r="I320" s="45">
        <v>304</v>
      </c>
      <c r="J320" s="5"/>
      <c r="K320" s="5"/>
      <c r="L320" s="5"/>
      <c r="M320" s="5"/>
    </row>
    <row r="321" spans="2:13" x14ac:dyDescent="0.3">
      <c r="B321" t="s">
        <v>186</v>
      </c>
      <c r="C321" s="3" t="s">
        <v>206</v>
      </c>
      <c r="D321" s="132" t="str">
        <f>VLOOKUP(C321,Mapping!$AB$2:$AC$8,2,FALSE)</f>
        <v>Age 2 - 3</v>
      </c>
      <c r="E321" s="132" t="str">
        <f t="shared" si="14"/>
        <v>Warrnambool (C)Age 2 - 3</v>
      </c>
      <c r="F321" s="132" t="str">
        <f>INDEX(Mapping!$Y:$Y,MATCH($B321,Mapping!$W:$W,0))</f>
        <v>Rural</v>
      </c>
      <c r="G321" s="45">
        <v>444</v>
      </c>
      <c r="H321" s="45">
        <v>413</v>
      </c>
      <c r="I321" s="45">
        <v>441</v>
      </c>
      <c r="J321" s="5"/>
      <c r="K321" s="5"/>
      <c r="L321" s="5"/>
      <c r="M321" s="5"/>
    </row>
    <row r="322" spans="2:13" x14ac:dyDescent="0.3">
      <c r="B322" t="s">
        <v>162</v>
      </c>
      <c r="C322" s="3" t="s">
        <v>206</v>
      </c>
      <c r="D322" s="132" t="str">
        <f>VLOOKUP(C322,Mapping!$AB$2:$AC$8,2,FALSE)</f>
        <v>Age 2 - 3</v>
      </c>
      <c r="E322" s="132" t="str">
        <f t="shared" si="14"/>
        <v>Wellington (S)Age 2 - 3</v>
      </c>
      <c r="F322" s="132" t="str">
        <f>INDEX(Mapping!$Y:$Y,MATCH($B322,Mapping!$W:$W,0))</f>
        <v>Rural</v>
      </c>
      <c r="G322" s="45">
        <v>576</v>
      </c>
      <c r="H322" s="45">
        <v>516</v>
      </c>
      <c r="I322" s="45">
        <v>457</v>
      </c>
      <c r="J322" s="5"/>
      <c r="K322" s="5"/>
      <c r="L322" s="5"/>
      <c r="M322" s="5"/>
    </row>
    <row r="323" spans="2:13" x14ac:dyDescent="0.3">
      <c r="B323" t="s">
        <v>187</v>
      </c>
      <c r="C323" s="3" t="s">
        <v>206</v>
      </c>
      <c r="D323" s="132" t="str">
        <f>VLOOKUP(C323,Mapping!$AB$2:$AC$8,2,FALSE)</f>
        <v>Age 2 - 3</v>
      </c>
      <c r="E323" s="132" t="str">
        <f t="shared" si="14"/>
        <v>West Wimmera (S)Age 2 - 3</v>
      </c>
      <c r="F323" s="132" t="str">
        <f>INDEX(Mapping!$Y:$Y,MATCH($B323,Mapping!$W:$W,0))</f>
        <v>Rural</v>
      </c>
      <c r="G323" s="45">
        <v>29</v>
      </c>
      <c r="H323" s="45">
        <v>34</v>
      </c>
      <c r="I323" s="45">
        <v>31</v>
      </c>
      <c r="J323" s="5"/>
      <c r="K323" s="5"/>
      <c r="L323" s="5"/>
      <c r="M323" s="5"/>
    </row>
    <row r="324" spans="2:13" x14ac:dyDescent="0.3">
      <c r="B324" t="s">
        <v>127</v>
      </c>
      <c r="C324" s="3" t="s">
        <v>206</v>
      </c>
      <c r="D324" s="132" t="str">
        <f>VLOOKUP(C324,Mapping!$AB$2:$AC$8,2,FALSE)</f>
        <v>Age 2 - 3</v>
      </c>
      <c r="E324" s="132" t="str">
        <f t="shared" si="14"/>
        <v>Whitehorse (C)Age 2 - 3</v>
      </c>
      <c r="F324" s="132" t="str">
        <f>INDEX(Mapping!$Y:$Y,MATCH($B324,Mapping!$W:$W,0))</f>
        <v>Metro</v>
      </c>
      <c r="G324" s="45">
        <v>1920</v>
      </c>
      <c r="H324" s="45">
        <v>3641</v>
      </c>
      <c r="I324" s="45">
        <v>1503</v>
      </c>
      <c r="J324" s="5"/>
      <c r="K324" s="5"/>
      <c r="L324" s="5"/>
      <c r="M324" s="5"/>
    </row>
    <row r="325" spans="2:13" x14ac:dyDescent="0.3">
      <c r="B325" t="s">
        <v>145</v>
      </c>
      <c r="C325" s="3" t="s">
        <v>206</v>
      </c>
      <c r="D325" s="132" t="str">
        <f>VLOOKUP(C325,Mapping!$AB$2:$AC$8,2,FALSE)</f>
        <v>Age 2 - 3</v>
      </c>
      <c r="E325" s="132" t="str">
        <f t="shared" si="14"/>
        <v>Whittlesea (C)Age 2 - 3</v>
      </c>
      <c r="F325" s="132" t="str">
        <f>INDEX(Mapping!$Y:$Y,MATCH($B325,Mapping!$W:$W,0))</f>
        <v>Interface</v>
      </c>
      <c r="G325" s="45">
        <v>3481</v>
      </c>
      <c r="H325" s="45">
        <v>3519</v>
      </c>
      <c r="I325" s="45">
        <v>3817</v>
      </c>
      <c r="J325" s="5"/>
      <c r="K325" s="5"/>
      <c r="L325" s="5"/>
      <c r="M325" s="5"/>
    </row>
    <row r="326" spans="2:13" x14ac:dyDescent="0.3">
      <c r="B326" t="s">
        <v>128</v>
      </c>
      <c r="C326" s="3" t="s">
        <v>206</v>
      </c>
      <c r="D326" s="132" t="str">
        <f>VLOOKUP(C326,Mapping!$AB$2:$AC$8,2,FALSE)</f>
        <v>Age 2 - 3</v>
      </c>
      <c r="E326" s="132" t="str">
        <f t="shared" si="14"/>
        <v>Wodonga (RC)Age 2 - 3</v>
      </c>
      <c r="F326" s="132" t="str">
        <f>INDEX(Mapping!$Y:$Y,MATCH($B326,Mapping!$W:$W,0))</f>
        <v>Rural</v>
      </c>
      <c r="G326" s="45">
        <v>578</v>
      </c>
      <c r="H326" s="45">
        <v>588</v>
      </c>
      <c r="I326" s="45">
        <v>607</v>
      </c>
      <c r="J326" s="5"/>
      <c r="K326" s="5"/>
      <c r="L326" s="5"/>
      <c r="M326" s="5"/>
    </row>
    <row r="327" spans="2:13" x14ac:dyDescent="0.3">
      <c r="B327" t="s">
        <v>188</v>
      </c>
      <c r="C327" s="3" t="s">
        <v>206</v>
      </c>
      <c r="D327" s="132" t="str">
        <f>VLOOKUP(C327,Mapping!$AB$2:$AC$8,2,FALSE)</f>
        <v>Age 2 - 3</v>
      </c>
      <c r="E327" s="132" t="str">
        <f t="shared" si="14"/>
        <v>Wyndham (C)Age 2 - 3</v>
      </c>
      <c r="F327" s="132" t="str">
        <f>INDEX(Mapping!$Y:$Y,MATCH($B327,Mapping!$W:$W,0))</f>
        <v>Interface</v>
      </c>
      <c r="G327" s="45">
        <v>4587</v>
      </c>
      <c r="H327" s="45">
        <v>4709</v>
      </c>
      <c r="I327" s="45">
        <v>4934</v>
      </c>
      <c r="J327" s="5"/>
      <c r="K327" s="5"/>
      <c r="L327" s="5"/>
      <c r="M327" s="5"/>
    </row>
    <row r="328" spans="2:13" x14ac:dyDescent="0.3">
      <c r="B328" t="s">
        <v>146</v>
      </c>
      <c r="C328" s="3" t="s">
        <v>206</v>
      </c>
      <c r="D328" s="132" t="str">
        <f>VLOOKUP(C328,Mapping!$AB$2:$AC$8,2,FALSE)</f>
        <v>Age 2 - 3</v>
      </c>
      <c r="E328" s="132" t="str">
        <f t="shared" si="14"/>
        <v>Yarra (C)Age 2 - 3</v>
      </c>
      <c r="F328" s="132" t="str">
        <f>INDEX(Mapping!$Y:$Y,MATCH($B328,Mapping!$W:$W,0))</f>
        <v>Metro</v>
      </c>
      <c r="G328" s="45">
        <v>984</v>
      </c>
      <c r="H328" s="45">
        <v>977</v>
      </c>
      <c r="I328" s="45">
        <v>893</v>
      </c>
      <c r="J328" s="5"/>
      <c r="K328" s="5"/>
      <c r="L328" s="5"/>
      <c r="M328" s="5"/>
    </row>
    <row r="329" spans="2:13" x14ac:dyDescent="0.3">
      <c r="B329" t="s">
        <v>129</v>
      </c>
      <c r="C329" s="3" t="s">
        <v>206</v>
      </c>
      <c r="D329" s="132" t="str">
        <f>VLOOKUP(C329,Mapping!$AB$2:$AC$8,2,FALSE)</f>
        <v>Age 2 - 3</v>
      </c>
      <c r="E329" s="132" t="str">
        <f t="shared" si="14"/>
        <v>Yarra Ranges (S)Age 2 - 3</v>
      </c>
      <c r="F329" s="132" t="str">
        <f>INDEX(Mapping!$Y:$Y,MATCH($B329,Mapping!$W:$W,0))</f>
        <v>Interface</v>
      </c>
      <c r="G329" s="45">
        <v>1876</v>
      </c>
      <c r="H329" s="45">
        <v>1893</v>
      </c>
      <c r="I329" s="45">
        <v>1946</v>
      </c>
      <c r="J329" s="5"/>
      <c r="K329" s="5"/>
      <c r="L329" s="5"/>
      <c r="M329" s="5"/>
    </row>
    <row r="330" spans="2:13" x14ac:dyDescent="0.3">
      <c r="B330" t="s">
        <v>189</v>
      </c>
      <c r="C330" s="3" t="s">
        <v>206</v>
      </c>
      <c r="D330" s="132" t="str">
        <f>VLOOKUP(C330,Mapping!$AB$2:$AC$8,2,FALSE)</f>
        <v>Age 2 - 3</v>
      </c>
      <c r="E330" s="132" t="str">
        <f t="shared" si="14"/>
        <v>Yarriambiack (S)Age 2 - 3</v>
      </c>
      <c r="F330" s="132" t="str">
        <f>INDEX(Mapping!$Y:$Y,MATCH($B330,Mapping!$W:$W,0))</f>
        <v>Rural</v>
      </c>
      <c r="G330" s="45">
        <v>70</v>
      </c>
      <c r="H330" s="45">
        <v>75</v>
      </c>
      <c r="I330" s="45">
        <v>63</v>
      </c>
      <c r="J330" s="5"/>
      <c r="K330" s="5"/>
      <c r="L330" s="5"/>
      <c r="M330" s="5"/>
    </row>
    <row r="331" spans="2:13" x14ac:dyDescent="0.3">
      <c r="B331" t="s">
        <v>111</v>
      </c>
      <c r="C331" s="3" t="s">
        <v>207</v>
      </c>
      <c r="D331" s="132" t="str">
        <f>VLOOKUP(C331,Mapping!$AB$2:$AC$8,2,FALSE)</f>
        <v>Age 3 - 4</v>
      </c>
      <c r="E331" s="132" t="str">
        <f t="shared" si="14"/>
        <v>Alpine (S)Age 3 - 4</v>
      </c>
      <c r="F331" s="132" t="str">
        <f>INDEX(Mapping!$Y:$Y,MATCH($B331,Mapping!$W:$W,0))</f>
        <v>Rural</v>
      </c>
      <c r="G331" s="45">
        <v>122</v>
      </c>
      <c r="H331" s="45">
        <v>92</v>
      </c>
      <c r="I331" s="45">
        <v>105</v>
      </c>
      <c r="J331" s="5"/>
      <c r="K331" s="5"/>
      <c r="L331" s="5"/>
      <c r="M331" s="5"/>
    </row>
    <row r="332" spans="2:13" x14ac:dyDescent="0.3">
      <c r="B332" t="s">
        <v>163</v>
      </c>
      <c r="C332" s="3" t="s">
        <v>207</v>
      </c>
      <c r="D332" s="132" t="str">
        <f>VLOOKUP(C332,Mapping!$AB$2:$AC$8,2,FALSE)</f>
        <v>Age 3 - 4</v>
      </c>
      <c r="E332" s="132" t="str">
        <f t="shared" si="14"/>
        <v>Ararat (RC)Age 3 - 4</v>
      </c>
      <c r="F332" s="132" t="str">
        <f>INDEX(Mapping!$Y:$Y,MATCH($B332,Mapping!$W:$W,0))</f>
        <v>Rural</v>
      </c>
      <c r="G332" s="45">
        <v>134</v>
      </c>
      <c r="H332" s="45">
        <v>94</v>
      </c>
      <c r="I332" s="45">
        <v>115</v>
      </c>
      <c r="J332" s="5"/>
      <c r="K332" s="5"/>
      <c r="L332" s="5"/>
      <c r="M332" s="5"/>
    </row>
    <row r="333" spans="2:13" x14ac:dyDescent="0.3">
      <c r="B333" t="s">
        <v>164</v>
      </c>
      <c r="C333" s="3" t="s">
        <v>207</v>
      </c>
      <c r="D333" s="132" t="str">
        <f>VLOOKUP(C333,Mapping!$AB$2:$AC$8,2,FALSE)</f>
        <v>Age 3 - 4</v>
      </c>
      <c r="E333" s="132" t="str">
        <f t="shared" si="14"/>
        <v>Ballarat (C)Age 3 - 4</v>
      </c>
      <c r="F333" s="132" t="str">
        <f>INDEX(Mapping!$Y:$Y,MATCH($B333,Mapping!$W:$W,0))</f>
        <v>Rural</v>
      </c>
      <c r="G333" s="45">
        <v>1382</v>
      </c>
      <c r="H333" s="45">
        <v>1437</v>
      </c>
      <c r="I333" s="45">
        <v>1331</v>
      </c>
      <c r="J333" s="5"/>
      <c r="K333" s="5"/>
      <c r="L333" s="5"/>
      <c r="M333" s="5"/>
    </row>
    <row r="334" spans="2:13" x14ac:dyDescent="0.3">
      <c r="B334" t="s">
        <v>130</v>
      </c>
      <c r="C334" s="3" t="s">
        <v>207</v>
      </c>
      <c r="D334" s="132" t="str">
        <f>VLOOKUP(C334,Mapping!$AB$2:$AC$8,2,FALSE)</f>
        <v>Age 3 - 4</v>
      </c>
      <c r="E334" s="132" t="str">
        <f t="shared" si="14"/>
        <v>Banyule (C)Age 3 - 4</v>
      </c>
      <c r="F334" s="132" t="str">
        <f>INDEX(Mapping!$Y:$Y,MATCH($B334,Mapping!$W:$W,0))</f>
        <v>Metro</v>
      </c>
      <c r="G334" s="45">
        <v>1961</v>
      </c>
      <c r="H334" s="45">
        <v>1617</v>
      </c>
      <c r="I334" s="45">
        <v>1568</v>
      </c>
      <c r="J334" s="5"/>
      <c r="K334" s="5"/>
      <c r="L334" s="5"/>
      <c r="M334" s="5"/>
    </row>
    <row r="335" spans="2:13" x14ac:dyDescent="0.3">
      <c r="B335" t="s">
        <v>147</v>
      </c>
      <c r="C335" s="3" t="s">
        <v>207</v>
      </c>
      <c r="D335" s="132" t="str">
        <f>VLOOKUP(C335,Mapping!$AB$2:$AC$8,2,FALSE)</f>
        <v>Age 3 - 4</v>
      </c>
      <c r="E335" s="132" t="str">
        <f t="shared" si="14"/>
        <v>Bass Coast (S)Age 3 - 4</v>
      </c>
      <c r="F335" s="132" t="str">
        <f>INDEX(Mapping!$Y:$Y,MATCH($B335,Mapping!$W:$W,0))</f>
        <v>Rural</v>
      </c>
      <c r="G335" s="45">
        <v>392</v>
      </c>
      <c r="H335" s="45">
        <v>366</v>
      </c>
      <c r="I335" s="45">
        <v>327</v>
      </c>
      <c r="J335" s="5"/>
      <c r="K335" s="5"/>
      <c r="L335" s="5"/>
      <c r="M335" s="5"/>
    </row>
    <row r="336" spans="2:13" x14ac:dyDescent="0.3">
      <c r="B336" t="s">
        <v>148</v>
      </c>
      <c r="C336" s="3" t="s">
        <v>207</v>
      </c>
      <c r="D336" s="132" t="str">
        <f>VLOOKUP(C336,Mapping!$AB$2:$AC$8,2,FALSE)</f>
        <v>Age 3 - 4</v>
      </c>
      <c r="E336" s="132" t="str">
        <f t="shared" ref="E336:E399" si="15">B336&amp;D336</f>
        <v>Baw Baw (S)Age 3 - 4</v>
      </c>
      <c r="F336" s="132" t="str">
        <f>INDEX(Mapping!$Y:$Y,MATCH($B336,Mapping!$W:$W,0))</f>
        <v>Rural</v>
      </c>
      <c r="G336" s="45">
        <v>617</v>
      </c>
      <c r="H336" s="45">
        <v>622</v>
      </c>
      <c r="I336" s="45">
        <v>622</v>
      </c>
      <c r="J336" s="5"/>
      <c r="K336" s="5"/>
      <c r="L336" s="5"/>
      <c r="M336" s="5"/>
    </row>
    <row r="337" spans="2:13" x14ac:dyDescent="0.3">
      <c r="B337" t="s">
        <v>149</v>
      </c>
      <c r="C337" s="3" t="s">
        <v>207</v>
      </c>
      <c r="D337" s="132" t="str">
        <f>VLOOKUP(C337,Mapping!$AB$2:$AC$8,2,FALSE)</f>
        <v>Age 3 - 4</v>
      </c>
      <c r="E337" s="132" t="str">
        <f t="shared" si="15"/>
        <v>Bayside (C)Age 3 - 4</v>
      </c>
      <c r="F337" s="132" t="str">
        <f>INDEX(Mapping!$Y:$Y,MATCH($B337,Mapping!$W:$W,0))</f>
        <v>Metro</v>
      </c>
      <c r="G337" s="45">
        <v>1086</v>
      </c>
      <c r="H337" s="45">
        <v>1071</v>
      </c>
      <c r="I337" s="45">
        <v>1119</v>
      </c>
      <c r="J337" s="5"/>
      <c r="K337" s="5"/>
      <c r="L337" s="5"/>
      <c r="M337" s="5"/>
    </row>
    <row r="338" spans="2:13" x14ac:dyDescent="0.3">
      <c r="B338" t="s">
        <v>112</v>
      </c>
      <c r="C338" s="3" t="s">
        <v>207</v>
      </c>
      <c r="D338" s="132" t="str">
        <f>VLOOKUP(C338,Mapping!$AB$2:$AC$8,2,FALSE)</f>
        <v>Age 3 - 4</v>
      </c>
      <c r="E338" s="132" t="str">
        <f t="shared" si="15"/>
        <v>Benalla (RC)Age 3 - 4</v>
      </c>
      <c r="F338" s="132" t="str">
        <f>INDEX(Mapping!$Y:$Y,MATCH($B338,Mapping!$W:$W,0))</f>
        <v>Rural</v>
      </c>
      <c r="G338" s="45">
        <v>151</v>
      </c>
      <c r="H338" s="45">
        <v>137</v>
      </c>
      <c r="I338" s="45">
        <v>116</v>
      </c>
      <c r="J338" s="5"/>
      <c r="K338" s="5"/>
      <c r="L338" s="5"/>
      <c r="M338" s="5"/>
    </row>
    <row r="339" spans="2:13" x14ac:dyDescent="0.3">
      <c r="B339" t="s">
        <v>113</v>
      </c>
      <c r="C339" s="3" t="s">
        <v>207</v>
      </c>
      <c r="D339" s="132" t="str">
        <f>VLOOKUP(C339,Mapping!$AB$2:$AC$8,2,FALSE)</f>
        <v>Age 3 - 4</v>
      </c>
      <c r="E339" s="132" t="str">
        <f t="shared" si="15"/>
        <v>Boroondara (C)Age 3 - 4</v>
      </c>
      <c r="F339" s="132" t="str">
        <f>INDEX(Mapping!$Y:$Y,MATCH($B339,Mapping!$W:$W,0))</f>
        <v>Metro</v>
      </c>
      <c r="G339" s="45">
        <v>1788</v>
      </c>
      <c r="H339" s="45">
        <v>1638</v>
      </c>
      <c r="I339" s="45">
        <v>1679</v>
      </c>
      <c r="J339" s="5"/>
      <c r="K339" s="5"/>
      <c r="L339" s="5"/>
      <c r="M339" s="5"/>
    </row>
    <row r="340" spans="2:13" x14ac:dyDescent="0.3">
      <c r="B340" t="s">
        <v>165</v>
      </c>
      <c r="C340" s="3" t="s">
        <v>207</v>
      </c>
      <c r="D340" s="132" t="str">
        <f>VLOOKUP(C340,Mapping!$AB$2:$AC$8,2,FALSE)</f>
        <v>Age 3 - 4</v>
      </c>
      <c r="E340" s="132" t="str">
        <f t="shared" si="15"/>
        <v>Brimbank (C)Age 3 - 4</v>
      </c>
      <c r="F340" s="132" t="str">
        <f>INDEX(Mapping!$Y:$Y,MATCH($B340,Mapping!$W:$W,0))</f>
        <v>Metro</v>
      </c>
      <c r="G340" s="45">
        <v>3138</v>
      </c>
      <c r="H340" s="45">
        <v>2987</v>
      </c>
      <c r="I340" s="45">
        <v>3124</v>
      </c>
      <c r="J340" s="5"/>
      <c r="K340" s="5"/>
      <c r="L340" s="5"/>
      <c r="M340" s="5"/>
    </row>
    <row r="341" spans="2:13" x14ac:dyDescent="0.3">
      <c r="B341" t="s">
        <v>131</v>
      </c>
      <c r="C341" s="3" t="s">
        <v>207</v>
      </c>
      <c r="D341" s="132" t="str">
        <f>VLOOKUP(C341,Mapping!$AB$2:$AC$8,2,FALSE)</f>
        <v>Age 3 - 4</v>
      </c>
      <c r="E341" s="132" t="str">
        <f t="shared" si="15"/>
        <v>Buloke (S)Age 3 - 4</v>
      </c>
      <c r="F341" s="132" t="str">
        <f>INDEX(Mapping!$Y:$Y,MATCH($B341,Mapping!$W:$W,0))</f>
        <v>Rural</v>
      </c>
      <c r="G341" s="45">
        <v>59</v>
      </c>
      <c r="H341" s="45">
        <v>63</v>
      </c>
      <c r="I341" s="45">
        <v>67</v>
      </c>
      <c r="J341" s="5"/>
      <c r="K341" s="5"/>
      <c r="L341" s="5"/>
      <c r="M341" s="5"/>
    </row>
    <row r="342" spans="2:13" x14ac:dyDescent="0.3">
      <c r="B342" t="s">
        <v>132</v>
      </c>
      <c r="C342" s="3" t="s">
        <v>207</v>
      </c>
      <c r="D342" s="132" t="str">
        <f>VLOOKUP(C342,Mapping!$AB$2:$AC$8,2,FALSE)</f>
        <v>Age 3 - 4</v>
      </c>
      <c r="E342" s="132" t="str">
        <f t="shared" si="15"/>
        <v>Campaspe (S)Age 3 - 4</v>
      </c>
      <c r="F342" s="132" t="str">
        <f>INDEX(Mapping!$Y:$Y,MATCH($B342,Mapping!$W:$W,0))</f>
        <v>Rural</v>
      </c>
      <c r="G342" s="45">
        <v>496</v>
      </c>
      <c r="H342" s="45">
        <v>464</v>
      </c>
      <c r="I342" s="45">
        <v>432</v>
      </c>
      <c r="J342" s="5"/>
      <c r="K342" s="5"/>
      <c r="L342" s="5"/>
      <c r="M342" s="5"/>
    </row>
    <row r="343" spans="2:13" x14ac:dyDescent="0.3">
      <c r="B343" t="s">
        <v>150</v>
      </c>
      <c r="C343" s="3" t="s">
        <v>207</v>
      </c>
      <c r="D343" s="132" t="str">
        <f>VLOOKUP(C343,Mapping!$AB$2:$AC$8,2,FALSE)</f>
        <v>Age 3 - 4</v>
      </c>
      <c r="E343" s="132" t="str">
        <f t="shared" si="15"/>
        <v>Cardinia (S)Age 3 - 4</v>
      </c>
      <c r="F343" s="132" t="str">
        <f>INDEX(Mapping!$Y:$Y,MATCH($B343,Mapping!$W:$W,0))</f>
        <v>Interface</v>
      </c>
      <c r="G343" s="45">
        <v>1770</v>
      </c>
      <c r="H343" s="45">
        <v>1627</v>
      </c>
      <c r="I343" s="45">
        <v>1682</v>
      </c>
      <c r="J343" s="5"/>
      <c r="K343" s="5"/>
      <c r="L343" s="5"/>
      <c r="M343" s="5"/>
    </row>
    <row r="344" spans="2:13" x14ac:dyDescent="0.3">
      <c r="B344" t="s">
        <v>151</v>
      </c>
      <c r="C344" s="3" t="s">
        <v>207</v>
      </c>
      <c r="D344" s="132" t="str">
        <f>VLOOKUP(C344,Mapping!$AB$2:$AC$8,2,FALSE)</f>
        <v>Age 3 - 4</v>
      </c>
      <c r="E344" s="132" t="str">
        <f t="shared" si="15"/>
        <v>Casey (C)Age 3 - 4</v>
      </c>
      <c r="F344" s="132" t="str">
        <f>INDEX(Mapping!$Y:$Y,MATCH($B344,Mapping!$W:$W,0))</f>
        <v>Interface</v>
      </c>
      <c r="G344" s="45">
        <v>4632</v>
      </c>
      <c r="H344" s="45">
        <v>4856</v>
      </c>
      <c r="I344" s="45">
        <v>5121</v>
      </c>
      <c r="J344" s="5"/>
      <c r="K344" s="5"/>
      <c r="L344" s="5"/>
      <c r="M344" s="5"/>
    </row>
    <row r="345" spans="2:13" x14ac:dyDescent="0.3">
      <c r="B345" t="s">
        <v>133</v>
      </c>
      <c r="C345" s="3" t="s">
        <v>207</v>
      </c>
      <c r="D345" s="132" t="str">
        <f>VLOOKUP(C345,Mapping!$AB$2:$AC$8,2,FALSE)</f>
        <v>Age 3 - 4</v>
      </c>
      <c r="E345" s="132" t="str">
        <f t="shared" si="15"/>
        <v>Central Goldfields (S)Age 3 - 4</v>
      </c>
      <c r="F345" s="132" t="str">
        <f>INDEX(Mapping!$Y:$Y,MATCH($B345,Mapping!$W:$W,0))</f>
        <v>Rural</v>
      </c>
      <c r="G345" s="45">
        <v>163</v>
      </c>
      <c r="H345" s="45">
        <v>137</v>
      </c>
      <c r="I345" s="45">
        <v>134</v>
      </c>
      <c r="J345" s="5"/>
      <c r="K345" s="5"/>
      <c r="L345" s="5"/>
      <c r="M345" s="5"/>
    </row>
    <row r="346" spans="2:13" x14ac:dyDescent="0.3">
      <c r="B346" t="s">
        <v>166</v>
      </c>
      <c r="C346" s="3" t="s">
        <v>207</v>
      </c>
      <c r="D346" s="132" t="str">
        <f>VLOOKUP(C346,Mapping!$AB$2:$AC$8,2,FALSE)</f>
        <v>Age 3 - 4</v>
      </c>
      <c r="E346" s="132" t="str">
        <f t="shared" si="15"/>
        <v>Colac-Otway (S)Age 3 - 4</v>
      </c>
      <c r="F346" s="132" t="str">
        <f>INDEX(Mapping!$Y:$Y,MATCH($B346,Mapping!$W:$W,0))</f>
        <v>Rural</v>
      </c>
      <c r="G346" s="45">
        <v>263</v>
      </c>
      <c r="H346" s="45">
        <v>261</v>
      </c>
      <c r="I346" s="45">
        <v>252</v>
      </c>
      <c r="J346" s="5"/>
      <c r="K346" s="5"/>
      <c r="L346" s="5"/>
      <c r="M346" s="5"/>
    </row>
    <row r="347" spans="2:13" x14ac:dyDescent="0.3">
      <c r="B347" t="s">
        <v>167</v>
      </c>
      <c r="C347" s="3" t="s">
        <v>207</v>
      </c>
      <c r="D347" s="132" t="str">
        <f>VLOOKUP(C347,Mapping!$AB$2:$AC$8,2,FALSE)</f>
        <v>Age 3 - 4</v>
      </c>
      <c r="E347" s="132" t="str">
        <f t="shared" si="15"/>
        <v>Corangamite (S)Age 3 - 4</v>
      </c>
      <c r="F347" s="132" t="str">
        <f>INDEX(Mapping!$Y:$Y,MATCH($B347,Mapping!$W:$W,0))</f>
        <v>Rural</v>
      </c>
      <c r="G347" s="45">
        <v>192</v>
      </c>
      <c r="H347" s="45">
        <v>157</v>
      </c>
      <c r="I347" s="45">
        <v>162</v>
      </c>
      <c r="J347" s="5"/>
      <c r="K347" s="5"/>
      <c r="L347" s="5"/>
      <c r="M347" s="5"/>
    </row>
    <row r="348" spans="2:13" x14ac:dyDescent="0.3">
      <c r="B348" t="s">
        <v>134</v>
      </c>
      <c r="C348" s="3" t="s">
        <v>207</v>
      </c>
      <c r="D348" s="132" t="str">
        <f>VLOOKUP(C348,Mapping!$AB$2:$AC$8,2,FALSE)</f>
        <v>Age 3 - 4</v>
      </c>
      <c r="E348" s="132" t="str">
        <f t="shared" si="15"/>
        <v>Darebin (C)Age 3 - 4</v>
      </c>
      <c r="F348" s="132" t="str">
        <f>INDEX(Mapping!$Y:$Y,MATCH($B348,Mapping!$W:$W,0))</f>
        <v>Metro</v>
      </c>
      <c r="G348" s="45">
        <v>1719</v>
      </c>
      <c r="H348" s="45">
        <v>1544</v>
      </c>
      <c r="I348" s="45">
        <v>1715</v>
      </c>
      <c r="J348" s="5"/>
      <c r="K348" s="5"/>
      <c r="L348" s="5"/>
      <c r="M348" s="5"/>
    </row>
    <row r="349" spans="2:13" x14ac:dyDescent="0.3">
      <c r="B349" t="s">
        <v>152</v>
      </c>
      <c r="C349" s="3" t="s">
        <v>207</v>
      </c>
      <c r="D349" s="132" t="str">
        <f>VLOOKUP(C349,Mapping!$AB$2:$AC$8,2,FALSE)</f>
        <v>Age 3 - 4</v>
      </c>
      <c r="E349" s="132" t="str">
        <f t="shared" si="15"/>
        <v>East Gippsland (S)Age 3 - 4</v>
      </c>
      <c r="F349" s="132" t="str">
        <f>INDEX(Mapping!$Y:$Y,MATCH($B349,Mapping!$W:$W,0))</f>
        <v>Rural</v>
      </c>
      <c r="G349" s="45">
        <v>477</v>
      </c>
      <c r="H349" s="45">
        <v>459</v>
      </c>
      <c r="I349" s="45">
        <v>484</v>
      </c>
      <c r="J349" s="5"/>
      <c r="K349" s="5"/>
      <c r="L349" s="5"/>
      <c r="M349" s="5"/>
    </row>
    <row r="350" spans="2:13" x14ac:dyDescent="0.3">
      <c r="B350" t="s">
        <v>153</v>
      </c>
      <c r="C350" s="3" t="s">
        <v>207</v>
      </c>
      <c r="D350" s="132" t="str">
        <f>VLOOKUP(C350,Mapping!$AB$2:$AC$8,2,FALSE)</f>
        <v>Age 3 - 4</v>
      </c>
      <c r="E350" s="132" t="str">
        <f t="shared" si="15"/>
        <v>Frankston (C)Age 3 - 4</v>
      </c>
      <c r="F350" s="132" t="str">
        <f>INDEX(Mapping!$Y:$Y,MATCH($B350,Mapping!$W:$W,0))</f>
        <v>Metro</v>
      </c>
      <c r="G350" s="45">
        <v>2271</v>
      </c>
      <c r="H350" s="45">
        <v>1993</v>
      </c>
      <c r="I350" s="45">
        <v>2011</v>
      </c>
      <c r="J350" s="5"/>
      <c r="K350" s="5"/>
      <c r="L350" s="5"/>
      <c r="M350" s="5"/>
    </row>
    <row r="351" spans="2:13" x14ac:dyDescent="0.3">
      <c r="B351" t="s">
        <v>135</v>
      </c>
      <c r="C351" s="3" t="s">
        <v>207</v>
      </c>
      <c r="D351" s="132" t="str">
        <f>VLOOKUP(C351,Mapping!$AB$2:$AC$8,2,FALSE)</f>
        <v>Age 3 - 4</v>
      </c>
      <c r="E351" s="132" t="str">
        <f t="shared" si="15"/>
        <v>Gannawarra (S)Age 3 - 4</v>
      </c>
      <c r="F351" s="132" t="str">
        <f>INDEX(Mapping!$Y:$Y,MATCH($B351,Mapping!$W:$W,0))</f>
        <v>Rural</v>
      </c>
      <c r="G351" s="45">
        <v>125</v>
      </c>
      <c r="H351" s="45">
        <v>112</v>
      </c>
      <c r="I351" s="45">
        <v>109</v>
      </c>
      <c r="J351" s="5"/>
      <c r="K351" s="5"/>
      <c r="L351" s="5"/>
      <c r="M351" s="5"/>
    </row>
    <row r="352" spans="2:13" x14ac:dyDescent="0.3">
      <c r="B352" t="s">
        <v>154</v>
      </c>
      <c r="C352" s="3" t="s">
        <v>207</v>
      </c>
      <c r="D352" s="132" t="str">
        <f>VLOOKUP(C352,Mapping!$AB$2:$AC$8,2,FALSE)</f>
        <v>Age 3 - 4</v>
      </c>
      <c r="E352" s="132" t="str">
        <f t="shared" si="15"/>
        <v>Glen Eira (C)Age 3 - 4</v>
      </c>
      <c r="F352" s="132" t="str">
        <f>INDEX(Mapping!$Y:$Y,MATCH($B352,Mapping!$W:$W,0))</f>
        <v>Metro</v>
      </c>
      <c r="G352" s="45">
        <v>1843</v>
      </c>
      <c r="H352" s="45">
        <v>1785</v>
      </c>
      <c r="I352" s="45">
        <v>1650</v>
      </c>
      <c r="J352" s="5"/>
      <c r="K352" s="5"/>
      <c r="L352" s="5"/>
      <c r="M352" s="5"/>
    </row>
    <row r="353" spans="2:13" x14ac:dyDescent="0.3">
      <c r="B353" t="s">
        <v>168</v>
      </c>
      <c r="C353" s="3" t="s">
        <v>207</v>
      </c>
      <c r="D353" s="132" t="str">
        <f>VLOOKUP(C353,Mapping!$AB$2:$AC$8,2,FALSE)</f>
        <v>Age 3 - 4</v>
      </c>
      <c r="E353" s="132" t="str">
        <f t="shared" si="15"/>
        <v>Glenelg (S)Age 3 - 4</v>
      </c>
      <c r="F353" s="132" t="str">
        <f>INDEX(Mapping!$Y:$Y,MATCH($B353,Mapping!$W:$W,0))</f>
        <v>Rural</v>
      </c>
      <c r="G353" s="45">
        <v>252</v>
      </c>
      <c r="H353" s="45">
        <v>187</v>
      </c>
      <c r="I353" s="45">
        <v>196</v>
      </c>
      <c r="J353" s="5"/>
      <c r="K353" s="5"/>
      <c r="L353" s="5"/>
      <c r="M353" s="5"/>
    </row>
    <row r="354" spans="2:13" x14ac:dyDescent="0.3">
      <c r="B354" t="s">
        <v>169</v>
      </c>
      <c r="C354" s="3" t="s">
        <v>207</v>
      </c>
      <c r="D354" s="132" t="str">
        <f>VLOOKUP(C354,Mapping!$AB$2:$AC$8,2,FALSE)</f>
        <v>Age 3 - 4</v>
      </c>
      <c r="E354" s="132" t="str">
        <f t="shared" si="15"/>
        <v>Golden Plains (S)Age 3 - 4</v>
      </c>
      <c r="F354" s="132" t="str">
        <f>INDEX(Mapping!$Y:$Y,MATCH($B354,Mapping!$W:$W,0))</f>
        <v>Rural</v>
      </c>
      <c r="G354" s="45">
        <v>282</v>
      </c>
      <c r="H354" s="45">
        <v>260</v>
      </c>
      <c r="I354" s="45">
        <v>270</v>
      </c>
      <c r="J354" s="5"/>
      <c r="K354" s="5"/>
      <c r="L354" s="5"/>
      <c r="M354" s="5"/>
    </row>
    <row r="355" spans="2:13" x14ac:dyDescent="0.3">
      <c r="B355" t="s">
        <v>136</v>
      </c>
      <c r="C355" s="3" t="s">
        <v>207</v>
      </c>
      <c r="D355" s="132" t="str">
        <f>VLOOKUP(C355,Mapping!$AB$2:$AC$8,2,FALSE)</f>
        <v>Age 3 - 4</v>
      </c>
      <c r="E355" s="132" t="str">
        <f t="shared" si="15"/>
        <v>Greater Bendigo (C)Age 3 - 4</v>
      </c>
      <c r="F355" s="132" t="str">
        <f>INDEX(Mapping!$Y:$Y,MATCH($B355,Mapping!$W:$W,0))</f>
        <v>Rural</v>
      </c>
      <c r="G355" s="45">
        <v>1510</v>
      </c>
      <c r="H355" s="45">
        <v>1592</v>
      </c>
      <c r="I355" s="45">
        <v>1518</v>
      </c>
      <c r="J355" s="5"/>
      <c r="K355" s="5"/>
      <c r="L355" s="5"/>
      <c r="M355" s="5"/>
    </row>
    <row r="356" spans="2:13" x14ac:dyDescent="0.3">
      <c r="B356" t="s">
        <v>155</v>
      </c>
      <c r="C356" s="3" t="s">
        <v>207</v>
      </c>
      <c r="D356" s="132" t="str">
        <f>VLOOKUP(C356,Mapping!$AB$2:$AC$8,2,FALSE)</f>
        <v>Age 3 - 4</v>
      </c>
      <c r="E356" s="132" t="str">
        <f t="shared" si="15"/>
        <v>Greater Dandenong (C)Age 3 - 4</v>
      </c>
      <c r="F356" s="132" t="str">
        <f>INDEX(Mapping!$Y:$Y,MATCH($B356,Mapping!$W:$W,0))</f>
        <v>Metro</v>
      </c>
      <c r="G356" s="45">
        <v>2925</v>
      </c>
      <c r="H356" s="45">
        <v>2167</v>
      </c>
      <c r="I356" s="45">
        <v>2252</v>
      </c>
      <c r="J356" s="5"/>
      <c r="K356" s="5"/>
      <c r="L356" s="5"/>
      <c r="M356" s="5"/>
    </row>
    <row r="357" spans="2:13" x14ac:dyDescent="0.3">
      <c r="B357" t="s">
        <v>170</v>
      </c>
      <c r="C357" s="3" t="s">
        <v>207</v>
      </c>
      <c r="D357" s="132" t="str">
        <f>VLOOKUP(C357,Mapping!$AB$2:$AC$8,2,FALSE)</f>
        <v>Age 3 - 4</v>
      </c>
      <c r="E357" s="132" t="str">
        <f t="shared" si="15"/>
        <v>Greater Geelong (C)Age 3 - 4</v>
      </c>
      <c r="F357" s="132" t="str">
        <f>INDEX(Mapping!$Y:$Y,MATCH($B357,Mapping!$W:$W,0))</f>
        <v>Rural</v>
      </c>
      <c r="G357" s="45">
        <v>2901</v>
      </c>
      <c r="H357" s="45">
        <v>2888</v>
      </c>
      <c r="I357" s="45">
        <v>3088</v>
      </c>
      <c r="J357" s="5"/>
      <c r="K357" s="5"/>
      <c r="L357" s="5"/>
      <c r="M357" s="5"/>
    </row>
    <row r="358" spans="2:13" x14ac:dyDescent="0.3">
      <c r="B358" t="s">
        <v>114</v>
      </c>
      <c r="C358" s="3" t="s">
        <v>207</v>
      </c>
      <c r="D358" s="132" t="str">
        <f>VLOOKUP(C358,Mapping!$AB$2:$AC$8,2,FALSE)</f>
        <v>Age 3 - 4</v>
      </c>
      <c r="E358" s="132" t="str">
        <f t="shared" si="15"/>
        <v>Greater Shepparton (C)Age 3 - 4</v>
      </c>
      <c r="F358" s="132" t="str">
        <f>INDEX(Mapping!$Y:$Y,MATCH($B358,Mapping!$W:$W,0))</f>
        <v>Rural</v>
      </c>
      <c r="G358" s="45">
        <v>937</v>
      </c>
      <c r="H358" s="45">
        <v>929</v>
      </c>
      <c r="I358" s="45">
        <v>975</v>
      </c>
      <c r="J358" s="5"/>
      <c r="K358" s="5"/>
      <c r="L358" s="5"/>
      <c r="M358" s="5"/>
    </row>
    <row r="359" spans="2:13" x14ac:dyDescent="0.3">
      <c r="B359" t="s">
        <v>171</v>
      </c>
      <c r="C359" s="3" t="s">
        <v>207</v>
      </c>
      <c r="D359" s="132" t="str">
        <f>VLOOKUP(C359,Mapping!$AB$2:$AC$8,2,FALSE)</f>
        <v>Age 3 - 4</v>
      </c>
      <c r="E359" s="132" t="str">
        <f t="shared" si="15"/>
        <v>Hepburn (S)Age 3 - 4</v>
      </c>
      <c r="F359" s="132" t="str">
        <f>INDEX(Mapping!$Y:$Y,MATCH($B359,Mapping!$W:$W,0))</f>
        <v>Rural</v>
      </c>
      <c r="G359" s="45">
        <v>160</v>
      </c>
      <c r="H359" s="45">
        <v>118</v>
      </c>
      <c r="I359" s="45">
        <v>135</v>
      </c>
      <c r="J359" s="5"/>
      <c r="K359" s="5"/>
      <c r="L359" s="5"/>
      <c r="M359" s="5"/>
    </row>
    <row r="360" spans="2:13" x14ac:dyDescent="0.3">
      <c r="B360" t="s">
        <v>172</v>
      </c>
      <c r="C360" s="3" t="s">
        <v>207</v>
      </c>
      <c r="D360" s="132" t="str">
        <f>VLOOKUP(C360,Mapping!$AB$2:$AC$8,2,FALSE)</f>
        <v>Age 3 - 4</v>
      </c>
      <c r="E360" s="132" t="str">
        <f t="shared" si="15"/>
        <v>Hindmarsh (S)Age 3 - 4</v>
      </c>
      <c r="F360" s="132" t="str">
        <f>INDEX(Mapping!$Y:$Y,MATCH($B360,Mapping!$W:$W,0))</f>
        <v>Rural</v>
      </c>
      <c r="G360" s="45">
        <v>72</v>
      </c>
      <c r="H360" s="45">
        <v>57</v>
      </c>
      <c r="I360" s="45">
        <v>54</v>
      </c>
      <c r="J360" s="5"/>
      <c r="K360" s="5"/>
      <c r="L360" s="5"/>
      <c r="M360" s="5"/>
    </row>
    <row r="361" spans="2:13" x14ac:dyDescent="0.3">
      <c r="B361" t="s">
        <v>173</v>
      </c>
      <c r="C361" s="3" t="s">
        <v>207</v>
      </c>
      <c r="D361" s="132" t="str">
        <f>VLOOKUP(C361,Mapping!$AB$2:$AC$8,2,FALSE)</f>
        <v>Age 3 - 4</v>
      </c>
      <c r="E361" s="132" t="str">
        <f t="shared" si="15"/>
        <v>Hobsons Bay (C)Age 3 - 4</v>
      </c>
      <c r="F361" s="132" t="str">
        <f>INDEX(Mapping!$Y:$Y,MATCH($B361,Mapping!$W:$W,0))</f>
        <v>Metro</v>
      </c>
      <c r="G361" s="45">
        <v>1314</v>
      </c>
      <c r="H361" s="45">
        <v>1328</v>
      </c>
      <c r="I361" s="45">
        <v>1274</v>
      </c>
      <c r="J361" s="5"/>
      <c r="K361" s="5"/>
      <c r="L361" s="5"/>
      <c r="M361" s="5"/>
    </row>
    <row r="362" spans="2:13" x14ac:dyDescent="0.3">
      <c r="B362" t="s">
        <v>174</v>
      </c>
      <c r="C362" s="3" t="s">
        <v>207</v>
      </c>
      <c r="D362" s="132" t="str">
        <f>VLOOKUP(C362,Mapping!$AB$2:$AC$8,2,FALSE)</f>
        <v>Age 3 - 4</v>
      </c>
      <c r="E362" s="132" t="str">
        <f t="shared" si="15"/>
        <v>Horsham (RC)Age 3 - 4</v>
      </c>
      <c r="F362" s="132" t="str">
        <f>INDEX(Mapping!$Y:$Y,MATCH($B362,Mapping!$W:$W,0))</f>
        <v>Rural</v>
      </c>
      <c r="G362" s="45">
        <v>280</v>
      </c>
      <c r="H362" s="45">
        <v>253</v>
      </c>
      <c r="I362" s="45">
        <v>224</v>
      </c>
      <c r="J362" s="5"/>
      <c r="K362" s="5"/>
      <c r="L362" s="5"/>
      <c r="M362" s="5"/>
    </row>
    <row r="363" spans="2:13" x14ac:dyDescent="0.3">
      <c r="B363" t="s">
        <v>137</v>
      </c>
      <c r="C363" s="3" t="s">
        <v>207</v>
      </c>
      <c r="D363" s="132" t="str">
        <f>VLOOKUP(C363,Mapping!$AB$2:$AC$8,2,FALSE)</f>
        <v>Age 3 - 4</v>
      </c>
      <c r="E363" s="132" t="str">
        <f t="shared" si="15"/>
        <v>Hume (C)Age 3 - 4</v>
      </c>
      <c r="F363" s="132" t="str">
        <f>INDEX(Mapping!$Y:$Y,MATCH($B363,Mapping!$W:$W,0))</f>
        <v>Interface</v>
      </c>
      <c r="G363" s="45">
        <v>3152</v>
      </c>
      <c r="H363" s="45">
        <v>3391</v>
      </c>
      <c r="I363" s="45">
        <v>3398</v>
      </c>
      <c r="J363" s="5"/>
      <c r="K363" s="5"/>
      <c r="L363" s="5"/>
      <c r="M363" s="5"/>
    </row>
    <row r="364" spans="2:13" x14ac:dyDescent="0.3">
      <c r="B364" t="s">
        <v>115</v>
      </c>
      <c r="C364" s="3" t="s">
        <v>207</v>
      </c>
      <c r="D364" s="132" t="str">
        <f>VLOOKUP(C364,Mapping!$AB$2:$AC$8,2,FALSE)</f>
        <v>Age 3 - 4</v>
      </c>
      <c r="E364" s="132" t="str">
        <f t="shared" si="15"/>
        <v>Indigo (S)Age 3 - 4</v>
      </c>
      <c r="F364" s="132" t="str">
        <f>INDEX(Mapping!$Y:$Y,MATCH($B364,Mapping!$W:$W,0))</f>
        <v>Rural</v>
      </c>
      <c r="G364" s="45">
        <v>150</v>
      </c>
      <c r="H364" s="45">
        <v>140</v>
      </c>
      <c r="I364" s="45">
        <v>160</v>
      </c>
      <c r="J364" s="5"/>
      <c r="K364" s="5"/>
      <c r="L364" s="5"/>
      <c r="M364" s="5"/>
    </row>
    <row r="365" spans="2:13" x14ac:dyDescent="0.3">
      <c r="B365" t="s">
        <v>156</v>
      </c>
      <c r="C365" s="3" t="s">
        <v>207</v>
      </c>
      <c r="D365" s="132" t="str">
        <f>VLOOKUP(C365,Mapping!$AB$2:$AC$8,2,FALSE)</f>
        <v>Age 3 - 4</v>
      </c>
      <c r="E365" s="132" t="str">
        <f t="shared" si="15"/>
        <v>Kingston (C)Age 3 - 4</v>
      </c>
      <c r="F365" s="132" t="str">
        <f>INDEX(Mapping!$Y:$Y,MATCH($B365,Mapping!$W:$W,0))</f>
        <v>Metro</v>
      </c>
      <c r="G365" s="45">
        <v>2002</v>
      </c>
      <c r="H365" s="45">
        <v>1969</v>
      </c>
      <c r="I365" s="45">
        <v>2008</v>
      </c>
      <c r="J365" s="5"/>
      <c r="K365" s="5"/>
      <c r="L365" s="5"/>
      <c r="M365" s="5"/>
    </row>
    <row r="366" spans="2:13" x14ac:dyDescent="0.3">
      <c r="B366" t="s">
        <v>116</v>
      </c>
      <c r="C366" s="3" t="s">
        <v>207</v>
      </c>
      <c r="D366" s="132" t="str">
        <f>VLOOKUP(C366,Mapping!$AB$2:$AC$8,2,FALSE)</f>
        <v>Age 3 - 4</v>
      </c>
      <c r="E366" s="132" t="str">
        <f t="shared" si="15"/>
        <v>Knox (C)Age 3 - 4</v>
      </c>
      <c r="F366" s="132" t="str">
        <f>INDEX(Mapping!$Y:$Y,MATCH($B366,Mapping!$W:$W,0))</f>
        <v>Metro</v>
      </c>
      <c r="G366" s="45">
        <v>1984</v>
      </c>
      <c r="H366" s="45">
        <v>1807</v>
      </c>
      <c r="I366" s="45">
        <v>1811</v>
      </c>
      <c r="J366" s="5"/>
      <c r="K366" s="5"/>
      <c r="L366" s="5"/>
      <c r="M366" s="5"/>
    </row>
    <row r="367" spans="2:13" x14ac:dyDescent="0.3">
      <c r="B367" t="s">
        <v>157</v>
      </c>
      <c r="C367" s="3" t="s">
        <v>207</v>
      </c>
      <c r="D367" s="132" t="str">
        <f>VLOOKUP(C367,Mapping!$AB$2:$AC$8,2,FALSE)</f>
        <v>Age 3 - 4</v>
      </c>
      <c r="E367" s="132" t="str">
        <f t="shared" si="15"/>
        <v>Latrobe (C)Age 3 - 4</v>
      </c>
      <c r="F367" s="132" t="str">
        <f>INDEX(Mapping!$Y:$Y,MATCH($B367,Mapping!$W:$W,0))</f>
        <v>Rural</v>
      </c>
      <c r="G367" s="45">
        <v>1039</v>
      </c>
      <c r="H367" s="45">
        <v>1014</v>
      </c>
      <c r="I367" s="45">
        <v>946</v>
      </c>
      <c r="J367" s="5"/>
      <c r="K367" s="5"/>
      <c r="L367" s="5"/>
      <c r="M367" s="5"/>
    </row>
    <row r="368" spans="2:13" x14ac:dyDescent="0.3">
      <c r="B368" t="s">
        <v>138</v>
      </c>
      <c r="C368" s="3" t="s">
        <v>207</v>
      </c>
      <c r="D368" s="132" t="str">
        <f>VLOOKUP(C368,Mapping!$AB$2:$AC$8,2,FALSE)</f>
        <v>Age 3 - 4</v>
      </c>
      <c r="E368" s="132" t="str">
        <f t="shared" si="15"/>
        <v>Loddon (S)Age 3 - 4</v>
      </c>
      <c r="F368" s="132" t="str">
        <f>INDEX(Mapping!$Y:$Y,MATCH($B368,Mapping!$W:$W,0))</f>
        <v>Rural</v>
      </c>
      <c r="G368" s="45">
        <v>64</v>
      </c>
      <c r="H368" s="45">
        <v>76</v>
      </c>
      <c r="I368" s="45">
        <v>74</v>
      </c>
      <c r="J368" s="5"/>
      <c r="K368" s="5"/>
      <c r="L368" s="5"/>
      <c r="M368" s="5"/>
    </row>
    <row r="369" spans="2:13" x14ac:dyDescent="0.3">
      <c r="B369" t="s">
        <v>139</v>
      </c>
      <c r="C369" s="3" t="s">
        <v>207</v>
      </c>
      <c r="D369" s="132" t="str">
        <f>VLOOKUP(C369,Mapping!$AB$2:$AC$8,2,FALSE)</f>
        <v>Age 3 - 4</v>
      </c>
      <c r="E369" s="132" t="str">
        <f t="shared" si="15"/>
        <v>Macedon Ranges (S)Age 3 - 4</v>
      </c>
      <c r="F369" s="132" t="str">
        <f>INDEX(Mapping!$Y:$Y,MATCH($B369,Mapping!$W:$W,0))</f>
        <v>Rural</v>
      </c>
      <c r="G369" s="45">
        <v>646</v>
      </c>
      <c r="H369" s="45">
        <v>573</v>
      </c>
      <c r="I369" s="45">
        <v>547</v>
      </c>
      <c r="J369" s="5"/>
      <c r="K369" s="5"/>
      <c r="L369" s="5"/>
      <c r="M369" s="5"/>
    </row>
    <row r="370" spans="2:13" x14ac:dyDescent="0.3">
      <c r="B370" t="s">
        <v>117</v>
      </c>
      <c r="C370" s="3" t="s">
        <v>207</v>
      </c>
      <c r="D370" s="132" t="str">
        <f>VLOOKUP(C370,Mapping!$AB$2:$AC$8,2,FALSE)</f>
        <v>Age 3 - 4</v>
      </c>
      <c r="E370" s="132" t="str">
        <f t="shared" si="15"/>
        <v>Manningham (C)Age 3 - 4</v>
      </c>
      <c r="F370" s="132" t="str">
        <f>INDEX(Mapping!$Y:$Y,MATCH($B370,Mapping!$W:$W,0))</f>
        <v>Metro</v>
      </c>
      <c r="G370" s="45">
        <v>1211</v>
      </c>
      <c r="H370" s="45">
        <v>1151</v>
      </c>
      <c r="I370" s="45">
        <v>1226</v>
      </c>
      <c r="J370" s="5"/>
      <c r="K370" s="5"/>
      <c r="L370" s="5"/>
      <c r="M370" s="5"/>
    </row>
    <row r="371" spans="2:13" x14ac:dyDescent="0.3">
      <c r="B371" t="s">
        <v>118</v>
      </c>
      <c r="C371" s="3" t="s">
        <v>207</v>
      </c>
      <c r="D371" s="132" t="str">
        <f>VLOOKUP(C371,Mapping!$AB$2:$AC$8,2,FALSE)</f>
        <v>Age 3 - 4</v>
      </c>
      <c r="E371" s="132" t="str">
        <f t="shared" si="15"/>
        <v>Mansfield (S)Age 3 - 4</v>
      </c>
      <c r="F371" s="132" t="str">
        <f>INDEX(Mapping!$Y:$Y,MATCH($B371,Mapping!$W:$W,0))</f>
        <v>Rural</v>
      </c>
      <c r="G371" s="45">
        <v>90</v>
      </c>
      <c r="H371" s="45">
        <v>85</v>
      </c>
      <c r="I371" s="45">
        <v>95</v>
      </c>
      <c r="J371" s="5"/>
      <c r="K371" s="5"/>
      <c r="L371" s="5"/>
      <c r="M371" s="5"/>
    </row>
    <row r="372" spans="2:13" x14ac:dyDescent="0.3">
      <c r="B372" t="s">
        <v>175</v>
      </c>
      <c r="C372" s="3" t="s">
        <v>207</v>
      </c>
      <c r="D372" s="132" t="str">
        <f>VLOOKUP(C372,Mapping!$AB$2:$AC$8,2,FALSE)</f>
        <v>Age 3 - 4</v>
      </c>
      <c r="E372" s="132" t="str">
        <f t="shared" si="15"/>
        <v>Maribyrnong (C)Age 3 - 4</v>
      </c>
      <c r="F372" s="132" t="str">
        <f>INDEX(Mapping!$Y:$Y,MATCH($B372,Mapping!$W:$W,0))</f>
        <v>Metro</v>
      </c>
      <c r="G372" s="45">
        <v>1311</v>
      </c>
      <c r="H372" s="45">
        <v>1225</v>
      </c>
      <c r="I372" s="45">
        <v>1192</v>
      </c>
      <c r="J372" s="5"/>
      <c r="K372" s="5"/>
      <c r="L372" s="5"/>
      <c r="M372" s="5"/>
    </row>
    <row r="373" spans="2:13" x14ac:dyDescent="0.3">
      <c r="B373" t="s">
        <v>119</v>
      </c>
      <c r="C373" s="3" t="s">
        <v>207</v>
      </c>
      <c r="D373" s="132" t="str">
        <f>VLOOKUP(C373,Mapping!$AB$2:$AC$8,2,FALSE)</f>
        <v>Age 3 - 4</v>
      </c>
      <c r="E373" s="132" t="str">
        <f t="shared" si="15"/>
        <v>Maroondah (C)Age 3 - 4</v>
      </c>
      <c r="F373" s="132" t="str">
        <f>INDEX(Mapping!$Y:$Y,MATCH($B373,Mapping!$W:$W,0))</f>
        <v>Metro</v>
      </c>
      <c r="G373" s="45">
        <v>1603</v>
      </c>
      <c r="H373" s="45">
        <v>1563</v>
      </c>
      <c r="I373" s="45">
        <v>1575</v>
      </c>
      <c r="J373" s="5"/>
      <c r="K373" s="5"/>
      <c r="L373" s="5"/>
      <c r="M373" s="5"/>
    </row>
    <row r="374" spans="2:13" x14ac:dyDescent="0.3">
      <c r="B374" t="s">
        <v>176</v>
      </c>
      <c r="C374" s="3" t="s">
        <v>207</v>
      </c>
      <c r="D374" s="132" t="str">
        <f>VLOOKUP(C374,Mapping!$AB$2:$AC$8,2,FALSE)</f>
        <v>Age 3 - 4</v>
      </c>
      <c r="E374" s="132" t="str">
        <f t="shared" si="15"/>
        <v>Melbourne (C)Age 3 - 4</v>
      </c>
      <c r="F374" s="132" t="str">
        <f>INDEX(Mapping!$Y:$Y,MATCH($B374,Mapping!$W:$W,0))</f>
        <v>Metro</v>
      </c>
      <c r="G374" s="45">
        <v>913</v>
      </c>
      <c r="H374" s="45">
        <v>961</v>
      </c>
      <c r="I374" s="45">
        <v>1057</v>
      </c>
      <c r="J374" s="5"/>
      <c r="K374" s="5"/>
      <c r="L374" s="5"/>
      <c r="M374" s="5"/>
    </row>
    <row r="375" spans="2:13" x14ac:dyDescent="0.3">
      <c r="B375" t="s">
        <v>177</v>
      </c>
      <c r="C375" s="3" t="s">
        <v>207</v>
      </c>
      <c r="D375" s="132" t="str">
        <f>VLOOKUP(C375,Mapping!$AB$2:$AC$8,2,FALSE)</f>
        <v>Age 3 - 4</v>
      </c>
      <c r="E375" s="132" t="str">
        <f t="shared" si="15"/>
        <v>Melton (C)Age 3 - 4</v>
      </c>
      <c r="F375" s="132" t="str">
        <f>INDEX(Mapping!$Y:$Y,MATCH($B375,Mapping!$W:$W,0))</f>
        <v>Interface</v>
      </c>
      <c r="G375" s="45">
        <v>2370</v>
      </c>
      <c r="H375" s="45">
        <v>2359</v>
      </c>
      <c r="I375" s="45">
        <v>2434</v>
      </c>
      <c r="J375" s="5"/>
      <c r="K375" s="5"/>
      <c r="L375" s="5"/>
      <c r="M375" s="5"/>
    </row>
    <row r="376" spans="2:13" x14ac:dyDescent="0.3">
      <c r="B376" t="s">
        <v>140</v>
      </c>
      <c r="C376" s="3" t="s">
        <v>207</v>
      </c>
      <c r="D376" s="132" t="str">
        <f>VLOOKUP(C376,Mapping!$AB$2:$AC$8,2,FALSE)</f>
        <v>Age 3 - 4</v>
      </c>
      <c r="E376" s="132" t="str">
        <f t="shared" si="15"/>
        <v>Mildura (RC)Age 3 - 4</v>
      </c>
      <c r="F376" s="132" t="str">
        <f>INDEX(Mapping!$Y:$Y,MATCH($B376,Mapping!$W:$W,0))</f>
        <v>Rural</v>
      </c>
      <c r="G376" s="45">
        <v>674</v>
      </c>
      <c r="H376" s="45">
        <v>726</v>
      </c>
      <c r="I376" s="45">
        <v>659</v>
      </c>
      <c r="J376" s="5"/>
      <c r="K376" s="5"/>
      <c r="L376" s="5"/>
      <c r="M376" s="5"/>
    </row>
    <row r="377" spans="2:13" x14ac:dyDescent="0.3">
      <c r="B377" t="s">
        <v>120</v>
      </c>
      <c r="C377" s="3" t="s">
        <v>207</v>
      </c>
      <c r="D377" s="132" t="str">
        <f>VLOOKUP(C377,Mapping!$AB$2:$AC$8,2,FALSE)</f>
        <v>Age 3 - 4</v>
      </c>
      <c r="E377" s="132" t="str">
        <f t="shared" si="15"/>
        <v>Mitchell (S)Age 3 - 4</v>
      </c>
      <c r="F377" s="132" t="str">
        <f>INDEX(Mapping!$Y:$Y,MATCH($B377,Mapping!$W:$W,0))</f>
        <v>Interface</v>
      </c>
      <c r="G377" s="45">
        <v>654</v>
      </c>
      <c r="H377" s="45">
        <v>535</v>
      </c>
      <c r="I377" s="45">
        <v>620</v>
      </c>
      <c r="J377" s="5"/>
      <c r="K377" s="5"/>
      <c r="L377" s="5"/>
      <c r="M377" s="5"/>
    </row>
    <row r="378" spans="2:13" x14ac:dyDescent="0.3">
      <c r="B378" t="s">
        <v>121</v>
      </c>
      <c r="C378" s="3" t="s">
        <v>207</v>
      </c>
      <c r="D378" s="132" t="str">
        <f>VLOOKUP(C378,Mapping!$AB$2:$AC$8,2,FALSE)</f>
        <v>Age 3 - 4</v>
      </c>
      <c r="E378" s="132" t="str">
        <f t="shared" si="15"/>
        <v>Moira (S)Age 3 - 4</v>
      </c>
      <c r="F378" s="132" t="str">
        <f>INDEX(Mapping!$Y:$Y,MATCH($B378,Mapping!$W:$W,0))</f>
        <v>Rural</v>
      </c>
      <c r="G378" s="45">
        <v>407</v>
      </c>
      <c r="H378" s="45">
        <v>409</v>
      </c>
      <c r="I378" s="45">
        <v>359</v>
      </c>
      <c r="J378" s="5"/>
      <c r="K378" s="5"/>
      <c r="L378" s="5"/>
      <c r="M378" s="5"/>
    </row>
    <row r="379" spans="2:13" x14ac:dyDescent="0.3">
      <c r="B379" t="s">
        <v>122</v>
      </c>
      <c r="C379" s="3" t="s">
        <v>207</v>
      </c>
      <c r="D379" s="132" t="str">
        <f>VLOOKUP(C379,Mapping!$AB$2:$AC$8,2,FALSE)</f>
        <v>Age 3 - 4</v>
      </c>
      <c r="E379" s="132" t="str">
        <f t="shared" si="15"/>
        <v>Monash (C)Age 3 - 4</v>
      </c>
      <c r="F379" s="132" t="str">
        <f>INDEX(Mapping!$Y:$Y,MATCH($B379,Mapping!$W:$W,0))</f>
        <v>Metro</v>
      </c>
      <c r="G379" s="45">
        <v>1973</v>
      </c>
      <c r="H379" s="45">
        <v>1994</v>
      </c>
      <c r="I379" s="45">
        <v>1868</v>
      </c>
      <c r="J379" s="5"/>
      <c r="K379" s="5"/>
      <c r="L379" s="5"/>
      <c r="M379" s="5"/>
    </row>
    <row r="380" spans="2:13" x14ac:dyDescent="0.3">
      <c r="B380" t="s">
        <v>178</v>
      </c>
      <c r="C380" s="3" t="s">
        <v>207</v>
      </c>
      <c r="D380" s="132" t="str">
        <f>VLOOKUP(C380,Mapping!$AB$2:$AC$8,2,FALSE)</f>
        <v>Age 3 - 4</v>
      </c>
      <c r="E380" s="132" t="str">
        <f t="shared" si="15"/>
        <v>Moonee Valley (C)Age 3 - 4</v>
      </c>
      <c r="F380" s="132" t="str">
        <f>INDEX(Mapping!$Y:$Y,MATCH($B380,Mapping!$W:$W,0))</f>
        <v>Metro</v>
      </c>
      <c r="G380" s="45">
        <v>1420</v>
      </c>
      <c r="H380" s="45">
        <v>1361</v>
      </c>
      <c r="I380" s="45">
        <v>1348</v>
      </c>
      <c r="J380" s="5"/>
      <c r="K380" s="5"/>
      <c r="L380" s="5"/>
      <c r="M380" s="5"/>
    </row>
    <row r="381" spans="2:13" x14ac:dyDescent="0.3">
      <c r="B381" t="s">
        <v>179</v>
      </c>
      <c r="C381" s="3" t="s">
        <v>207</v>
      </c>
      <c r="D381" s="132" t="str">
        <f>VLOOKUP(C381,Mapping!$AB$2:$AC$8,2,FALSE)</f>
        <v>Age 3 - 4</v>
      </c>
      <c r="E381" s="132" t="str">
        <f t="shared" si="15"/>
        <v>Moorabool (S)Age 3 - 4</v>
      </c>
      <c r="F381" s="132" t="str">
        <f>INDEX(Mapping!$Y:$Y,MATCH($B381,Mapping!$W:$W,0))</f>
        <v>Rural</v>
      </c>
      <c r="G381" s="45">
        <v>417</v>
      </c>
      <c r="H381" s="45">
        <v>386</v>
      </c>
      <c r="I381" s="45">
        <v>368</v>
      </c>
      <c r="J381" s="5"/>
      <c r="K381" s="5"/>
      <c r="L381" s="5"/>
      <c r="M381" s="5"/>
    </row>
    <row r="382" spans="2:13" x14ac:dyDescent="0.3">
      <c r="B382" t="s">
        <v>141</v>
      </c>
      <c r="C382" s="3" t="s">
        <v>207</v>
      </c>
      <c r="D382" s="132" t="str">
        <f>VLOOKUP(C382,Mapping!$AB$2:$AC$8,2,FALSE)</f>
        <v>Age 3 - 4</v>
      </c>
      <c r="E382" s="132" t="str">
        <f t="shared" si="15"/>
        <v>Moreland (C)Age 3 - 4</v>
      </c>
      <c r="F382" s="132" t="str">
        <f>INDEX(Mapping!$Y:$Y,MATCH($B382,Mapping!$W:$W,0))</f>
        <v>Metro</v>
      </c>
      <c r="G382" s="45">
        <v>2412</v>
      </c>
      <c r="H382" s="45">
        <v>2386</v>
      </c>
      <c r="I382" s="45">
        <v>2491</v>
      </c>
      <c r="J382" s="5"/>
      <c r="K382" s="5"/>
      <c r="L382" s="5"/>
      <c r="M382" s="5"/>
    </row>
    <row r="383" spans="2:13" x14ac:dyDescent="0.3">
      <c r="B383" t="s">
        <v>158</v>
      </c>
      <c r="C383" s="3" t="s">
        <v>207</v>
      </c>
      <c r="D383" s="132" t="str">
        <f>VLOOKUP(C383,Mapping!$AB$2:$AC$8,2,FALSE)</f>
        <v>Age 3 - 4</v>
      </c>
      <c r="E383" s="132" t="str">
        <f t="shared" si="15"/>
        <v>Mornington Peninsula (S)Age 3 - 4</v>
      </c>
      <c r="F383" s="132" t="str">
        <f>INDEX(Mapping!$Y:$Y,MATCH($B383,Mapping!$W:$W,0))</f>
        <v>Interface</v>
      </c>
      <c r="G383" s="45">
        <v>1962</v>
      </c>
      <c r="H383" s="45">
        <v>1720</v>
      </c>
      <c r="I383" s="45">
        <v>1717</v>
      </c>
      <c r="J383" s="5"/>
      <c r="K383" s="5"/>
      <c r="L383" s="5"/>
      <c r="M383" s="5"/>
    </row>
    <row r="384" spans="2:13" x14ac:dyDescent="0.3">
      <c r="B384" t="s">
        <v>142</v>
      </c>
      <c r="C384" s="3" t="s">
        <v>207</v>
      </c>
      <c r="D384" s="132" t="str">
        <f>VLOOKUP(C384,Mapping!$AB$2:$AC$8,2,FALSE)</f>
        <v>Age 3 - 4</v>
      </c>
      <c r="E384" s="132" t="str">
        <f t="shared" si="15"/>
        <v>Mount Alexander (S)Age 3 - 4</v>
      </c>
      <c r="F384" s="132" t="str">
        <f>INDEX(Mapping!$Y:$Y,MATCH($B384,Mapping!$W:$W,0))</f>
        <v>Rural</v>
      </c>
      <c r="G384" s="45">
        <v>174</v>
      </c>
      <c r="H384" s="45">
        <v>194</v>
      </c>
      <c r="I384" s="45">
        <v>171</v>
      </c>
      <c r="J384" s="5"/>
      <c r="K384" s="5"/>
      <c r="L384" s="5"/>
      <c r="M384" s="5"/>
    </row>
    <row r="385" spans="2:13" x14ac:dyDescent="0.3">
      <c r="B385" t="s">
        <v>180</v>
      </c>
      <c r="C385" s="3" t="s">
        <v>207</v>
      </c>
      <c r="D385" s="132" t="str">
        <f>VLOOKUP(C385,Mapping!$AB$2:$AC$8,2,FALSE)</f>
        <v>Age 3 - 4</v>
      </c>
      <c r="E385" s="132" t="str">
        <f t="shared" si="15"/>
        <v>Moyne (S)Age 3 - 4</v>
      </c>
      <c r="F385" s="132" t="str">
        <f>INDEX(Mapping!$Y:$Y,MATCH($B385,Mapping!$W:$W,0))</f>
        <v>Rural</v>
      </c>
      <c r="G385" s="45">
        <v>237</v>
      </c>
      <c r="H385" s="45">
        <v>168</v>
      </c>
      <c r="I385" s="45">
        <v>189</v>
      </c>
      <c r="J385" s="5"/>
      <c r="K385" s="5"/>
      <c r="L385" s="5"/>
      <c r="M385" s="5"/>
    </row>
    <row r="386" spans="2:13" x14ac:dyDescent="0.3">
      <c r="B386" t="s">
        <v>123</v>
      </c>
      <c r="C386" s="3" t="s">
        <v>207</v>
      </c>
      <c r="D386" s="132" t="str">
        <f>VLOOKUP(C386,Mapping!$AB$2:$AC$8,2,FALSE)</f>
        <v>Age 3 - 4</v>
      </c>
      <c r="E386" s="132" t="str">
        <f t="shared" si="15"/>
        <v>Murrindindi (S)Age 3 - 4</v>
      </c>
      <c r="F386" s="132" t="str">
        <f>INDEX(Mapping!$Y:$Y,MATCH($B386,Mapping!$W:$W,0))</f>
        <v>Rural</v>
      </c>
      <c r="G386" s="45">
        <v>137</v>
      </c>
      <c r="H386" s="45">
        <v>134</v>
      </c>
      <c r="I386" s="45">
        <v>116</v>
      </c>
      <c r="J386" s="5"/>
      <c r="K386" s="5"/>
      <c r="L386" s="5"/>
      <c r="M386" s="5"/>
    </row>
    <row r="387" spans="2:13" x14ac:dyDescent="0.3">
      <c r="B387" t="s">
        <v>143</v>
      </c>
      <c r="C387" s="3" t="s">
        <v>207</v>
      </c>
      <c r="D387" s="132" t="str">
        <f>VLOOKUP(C387,Mapping!$AB$2:$AC$8,2,FALSE)</f>
        <v>Age 3 - 4</v>
      </c>
      <c r="E387" s="132" t="str">
        <f t="shared" si="15"/>
        <v>Nillumbik (S)Age 3 - 4</v>
      </c>
      <c r="F387" s="132" t="str">
        <f>INDEX(Mapping!$Y:$Y,MATCH($B387,Mapping!$W:$W,0))</f>
        <v>Interface</v>
      </c>
      <c r="G387" s="45">
        <v>736</v>
      </c>
      <c r="H387" s="45">
        <v>688</v>
      </c>
      <c r="I387" s="45">
        <v>669</v>
      </c>
      <c r="J387" s="5"/>
      <c r="K387" s="5"/>
      <c r="L387" s="5"/>
      <c r="M387" s="5"/>
    </row>
    <row r="388" spans="2:13" x14ac:dyDescent="0.3">
      <c r="B388" t="s">
        <v>181</v>
      </c>
      <c r="C388" s="3" t="s">
        <v>207</v>
      </c>
      <c r="D388" s="132" t="str">
        <f>VLOOKUP(C388,Mapping!$AB$2:$AC$8,2,FALSE)</f>
        <v>Age 3 - 4</v>
      </c>
      <c r="E388" s="132" t="str">
        <f t="shared" si="15"/>
        <v>Northern Grampians (S)Age 3 - 4</v>
      </c>
      <c r="F388" s="132" t="str">
        <f>INDEX(Mapping!$Y:$Y,MATCH($B388,Mapping!$W:$W,0))</f>
        <v>Rural</v>
      </c>
      <c r="G388" s="45">
        <v>122</v>
      </c>
      <c r="H388" s="45">
        <v>94</v>
      </c>
      <c r="I388" s="45">
        <v>87</v>
      </c>
      <c r="J388" s="5"/>
      <c r="K388" s="5"/>
      <c r="L388" s="5"/>
      <c r="M388" s="5"/>
    </row>
    <row r="389" spans="2:13" x14ac:dyDescent="0.3">
      <c r="B389" t="s">
        <v>159</v>
      </c>
      <c r="C389" s="3" t="s">
        <v>207</v>
      </c>
      <c r="D389" s="132" t="str">
        <f>VLOOKUP(C389,Mapping!$AB$2:$AC$8,2,FALSE)</f>
        <v>Age 3 - 4</v>
      </c>
      <c r="E389" s="132" t="str">
        <f t="shared" si="15"/>
        <v>Port Phillip (C)Age 3 - 4</v>
      </c>
      <c r="F389" s="132" t="str">
        <f>INDEX(Mapping!$Y:$Y,MATCH($B389,Mapping!$W:$W,0))</f>
        <v>Metro</v>
      </c>
      <c r="G389" s="45">
        <v>1265</v>
      </c>
      <c r="H389" s="45">
        <v>1297</v>
      </c>
      <c r="I389" s="45">
        <v>1126</v>
      </c>
      <c r="J389" s="5"/>
      <c r="K389" s="5"/>
      <c r="L389" s="5"/>
      <c r="M389" s="5"/>
    </row>
    <row r="390" spans="2:13" x14ac:dyDescent="0.3">
      <c r="B390" t="s">
        <v>182</v>
      </c>
      <c r="C390" s="3" t="s">
        <v>207</v>
      </c>
      <c r="D390" s="132" t="str">
        <f>VLOOKUP(C390,Mapping!$AB$2:$AC$8,2,FALSE)</f>
        <v>Age 3 - 4</v>
      </c>
      <c r="E390" s="132" t="str">
        <f t="shared" si="15"/>
        <v>Pyrenees (S)Age 3 - 4</v>
      </c>
      <c r="F390" s="132" t="str">
        <f>INDEX(Mapping!$Y:$Y,MATCH($B390,Mapping!$W:$W,0))</f>
        <v>Rural</v>
      </c>
      <c r="G390" s="45">
        <v>67</v>
      </c>
      <c r="H390" s="45">
        <v>62</v>
      </c>
      <c r="I390" s="45">
        <v>73</v>
      </c>
      <c r="J390" s="5"/>
      <c r="K390" s="5"/>
      <c r="L390" s="5"/>
      <c r="M390" s="5"/>
    </row>
    <row r="391" spans="2:13" x14ac:dyDescent="0.3">
      <c r="B391" t="s">
        <v>183</v>
      </c>
      <c r="C391" s="3" t="s">
        <v>207</v>
      </c>
      <c r="D391" s="132" t="str">
        <f>VLOOKUP(C391,Mapping!$AB$2:$AC$8,2,FALSE)</f>
        <v>Age 3 - 4</v>
      </c>
      <c r="E391" s="132" t="str">
        <f t="shared" si="15"/>
        <v>Queenscliffe (B)Age 3 - 4</v>
      </c>
      <c r="F391" s="132" t="str">
        <f>INDEX(Mapping!$Y:$Y,MATCH($B391,Mapping!$W:$W,0))</f>
        <v>Rural</v>
      </c>
      <c r="G391" s="45">
        <v>23</v>
      </c>
      <c r="H391" s="45">
        <v>20</v>
      </c>
      <c r="I391" s="45">
        <v>18</v>
      </c>
      <c r="J391" s="5"/>
      <c r="K391" s="5"/>
      <c r="L391" s="5"/>
      <c r="M391" s="5"/>
    </row>
    <row r="392" spans="2:13" x14ac:dyDescent="0.3">
      <c r="B392" t="s">
        <v>160</v>
      </c>
      <c r="C392" s="3" t="s">
        <v>207</v>
      </c>
      <c r="D392" s="132" t="str">
        <f>VLOOKUP(C392,Mapping!$AB$2:$AC$8,2,FALSE)</f>
        <v>Age 3 - 4</v>
      </c>
      <c r="E392" s="132" t="str">
        <f t="shared" si="15"/>
        <v>South Gippsland (S)Age 3 - 4</v>
      </c>
      <c r="F392" s="132" t="str">
        <f>INDEX(Mapping!$Y:$Y,MATCH($B392,Mapping!$W:$W,0))</f>
        <v>Rural</v>
      </c>
      <c r="G392" s="45">
        <v>363</v>
      </c>
      <c r="H392" s="45">
        <v>289</v>
      </c>
      <c r="I392" s="45">
        <v>337</v>
      </c>
      <c r="J392" s="5"/>
      <c r="K392" s="5"/>
      <c r="L392" s="5"/>
      <c r="M392" s="5"/>
    </row>
    <row r="393" spans="2:13" x14ac:dyDescent="0.3">
      <c r="B393" t="s">
        <v>184</v>
      </c>
      <c r="C393" s="3" t="s">
        <v>207</v>
      </c>
      <c r="D393" s="132" t="str">
        <f>VLOOKUP(C393,Mapping!$AB$2:$AC$8,2,FALSE)</f>
        <v>Age 3 - 4</v>
      </c>
      <c r="E393" s="132" t="str">
        <f t="shared" si="15"/>
        <v>Southern Grampians (S)Age 3 - 4</v>
      </c>
      <c r="F393" s="132" t="str">
        <f>INDEX(Mapping!$Y:$Y,MATCH($B393,Mapping!$W:$W,0))</f>
        <v>Rural</v>
      </c>
      <c r="G393" s="45">
        <v>190</v>
      </c>
      <c r="H393" s="45">
        <v>200</v>
      </c>
      <c r="I393" s="45">
        <v>185</v>
      </c>
      <c r="J393" s="5"/>
      <c r="K393" s="5"/>
      <c r="L393" s="5"/>
      <c r="M393" s="5"/>
    </row>
    <row r="394" spans="2:13" x14ac:dyDescent="0.3">
      <c r="B394" t="s">
        <v>161</v>
      </c>
      <c r="C394" s="3" t="s">
        <v>207</v>
      </c>
      <c r="D394" s="132" t="str">
        <f>VLOOKUP(C394,Mapping!$AB$2:$AC$8,2,FALSE)</f>
        <v>Age 3 - 4</v>
      </c>
      <c r="E394" s="132" t="str">
        <f t="shared" si="15"/>
        <v>Stonnington (C)Age 3 - 4</v>
      </c>
      <c r="F394" s="132" t="str">
        <f>INDEX(Mapping!$Y:$Y,MATCH($B394,Mapping!$W:$W,0))</f>
        <v>Metro</v>
      </c>
      <c r="G394" s="45">
        <v>1330</v>
      </c>
      <c r="H394" s="45">
        <v>1049</v>
      </c>
      <c r="I394" s="45">
        <v>936</v>
      </c>
      <c r="J394" s="5"/>
      <c r="K394" s="5"/>
      <c r="L394" s="5"/>
      <c r="M394" s="5"/>
    </row>
    <row r="395" spans="2:13" x14ac:dyDescent="0.3">
      <c r="B395" t="s">
        <v>124</v>
      </c>
      <c r="C395" s="3" t="s">
        <v>207</v>
      </c>
      <c r="D395" s="132" t="str">
        <f>VLOOKUP(C395,Mapping!$AB$2:$AC$8,2,FALSE)</f>
        <v>Age 3 - 4</v>
      </c>
      <c r="E395" s="132" t="str">
        <f t="shared" si="15"/>
        <v>Strathbogie (S)Age 3 - 4</v>
      </c>
      <c r="F395" s="132" t="str">
        <f>INDEX(Mapping!$Y:$Y,MATCH($B395,Mapping!$W:$W,0))</f>
        <v>Rural</v>
      </c>
      <c r="G395" s="45">
        <v>78</v>
      </c>
      <c r="H395" s="45">
        <v>93</v>
      </c>
      <c r="I395" s="45">
        <v>100</v>
      </c>
      <c r="J395" s="5"/>
      <c r="K395" s="5"/>
      <c r="L395" s="5"/>
      <c r="M395" s="5"/>
    </row>
    <row r="396" spans="2:13" x14ac:dyDescent="0.3">
      <c r="B396" t="s">
        <v>185</v>
      </c>
      <c r="C396" s="3" t="s">
        <v>207</v>
      </c>
      <c r="D396" s="132" t="str">
        <f>VLOOKUP(C396,Mapping!$AB$2:$AC$8,2,FALSE)</f>
        <v>Age 3 - 4</v>
      </c>
      <c r="E396" s="132" t="str">
        <f t="shared" si="15"/>
        <v>Surf Coast (S)Age 3 - 4</v>
      </c>
      <c r="F396" s="132" t="str">
        <f>INDEX(Mapping!$Y:$Y,MATCH($B396,Mapping!$W:$W,0))</f>
        <v>Rural</v>
      </c>
      <c r="G396" s="45">
        <v>376</v>
      </c>
      <c r="H396" s="45">
        <v>365</v>
      </c>
      <c r="I396" s="45">
        <v>340</v>
      </c>
      <c r="J396" s="5"/>
      <c r="K396" s="5"/>
      <c r="L396" s="5"/>
      <c r="M396" s="5"/>
    </row>
    <row r="397" spans="2:13" x14ac:dyDescent="0.3">
      <c r="B397" t="s">
        <v>144</v>
      </c>
      <c r="C397" s="3" t="s">
        <v>207</v>
      </c>
      <c r="D397" s="132" t="str">
        <f>VLOOKUP(C397,Mapping!$AB$2:$AC$8,2,FALSE)</f>
        <v>Age 3 - 4</v>
      </c>
      <c r="E397" s="132" t="str">
        <f t="shared" si="15"/>
        <v>Swan Hill (RC)Age 3 - 4</v>
      </c>
      <c r="F397" s="132" t="str">
        <f>INDEX(Mapping!$Y:$Y,MATCH($B397,Mapping!$W:$W,0))</f>
        <v>Rural</v>
      </c>
      <c r="G397" s="45">
        <v>329</v>
      </c>
      <c r="H397" s="45">
        <v>335</v>
      </c>
      <c r="I397" s="45">
        <v>300</v>
      </c>
      <c r="J397" s="5"/>
      <c r="K397" s="5"/>
      <c r="L397" s="5"/>
      <c r="M397" s="5"/>
    </row>
    <row r="398" spans="2:13" x14ac:dyDescent="0.3">
      <c r="B398" t="s">
        <v>125</v>
      </c>
      <c r="C398" s="3" t="s">
        <v>207</v>
      </c>
      <c r="D398" s="132" t="str">
        <f>VLOOKUP(C398,Mapping!$AB$2:$AC$8,2,FALSE)</f>
        <v>Age 3 - 4</v>
      </c>
      <c r="E398" s="132" t="str">
        <f t="shared" si="15"/>
        <v>Towong (S)Age 3 - 4</v>
      </c>
      <c r="F398" s="132" t="str">
        <f>INDEX(Mapping!$Y:$Y,MATCH($B398,Mapping!$W:$W,0))</f>
        <v>Rural</v>
      </c>
      <c r="G398" s="45">
        <v>68</v>
      </c>
      <c r="H398" s="45">
        <v>63</v>
      </c>
      <c r="I398" s="45">
        <v>65</v>
      </c>
      <c r="J398" s="5"/>
      <c r="K398" s="5"/>
      <c r="L398" s="5"/>
      <c r="M398" s="5"/>
    </row>
    <row r="399" spans="2:13" x14ac:dyDescent="0.3">
      <c r="B399" t="s">
        <v>126</v>
      </c>
      <c r="C399" s="3" t="s">
        <v>207</v>
      </c>
      <c r="D399" s="132" t="str">
        <f>VLOOKUP(C399,Mapping!$AB$2:$AC$8,2,FALSE)</f>
        <v>Age 3 - 4</v>
      </c>
      <c r="E399" s="132" t="str">
        <f t="shared" si="15"/>
        <v>Wangaratta (RC)Age 3 - 4</v>
      </c>
      <c r="F399" s="132" t="str">
        <f>INDEX(Mapping!$Y:$Y,MATCH($B399,Mapping!$W:$W,0))</f>
        <v>Rural</v>
      </c>
      <c r="G399" s="45">
        <v>316</v>
      </c>
      <c r="H399" s="45">
        <v>314</v>
      </c>
      <c r="I399" s="45">
        <v>327</v>
      </c>
      <c r="J399" s="5"/>
      <c r="K399" s="5"/>
      <c r="L399" s="5"/>
      <c r="M399" s="5"/>
    </row>
    <row r="400" spans="2:13" x14ac:dyDescent="0.3">
      <c r="B400" t="s">
        <v>186</v>
      </c>
      <c r="C400" s="3" t="s">
        <v>207</v>
      </c>
      <c r="D400" s="132" t="str">
        <f>VLOOKUP(C400,Mapping!$AB$2:$AC$8,2,FALSE)</f>
        <v>Age 3 - 4</v>
      </c>
      <c r="E400" s="132" t="str">
        <f t="shared" ref="E400:E463" si="16">B400&amp;D400</f>
        <v>Warrnambool (C)Age 3 - 4</v>
      </c>
      <c r="F400" s="132" t="str">
        <f>INDEX(Mapping!$Y:$Y,MATCH($B400,Mapping!$W:$W,0))</f>
        <v>Rural</v>
      </c>
      <c r="G400" s="45">
        <v>416</v>
      </c>
      <c r="H400" s="45">
        <v>441</v>
      </c>
      <c r="I400" s="45">
        <v>423</v>
      </c>
      <c r="J400" s="5"/>
      <c r="K400" s="5"/>
      <c r="L400" s="5"/>
      <c r="M400" s="5"/>
    </row>
    <row r="401" spans="2:13" x14ac:dyDescent="0.3">
      <c r="B401" t="s">
        <v>162</v>
      </c>
      <c r="C401" s="3" t="s">
        <v>207</v>
      </c>
      <c r="D401" s="132" t="str">
        <f>VLOOKUP(C401,Mapping!$AB$2:$AC$8,2,FALSE)</f>
        <v>Age 3 - 4</v>
      </c>
      <c r="E401" s="132" t="str">
        <f t="shared" si="16"/>
        <v>Wellington (S)Age 3 - 4</v>
      </c>
      <c r="F401" s="132" t="str">
        <f>INDEX(Mapping!$Y:$Y,MATCH($B401,Mapping!$W:$W,0))</f>
        <v>Rural</v>
      </c>
      <c r="G401" s="45">
        <v>597</v>
      </c>
      <c r="H401" s="45">
        <v>509</v>
      </c>
      <c r="I401" s="45">
        <v>510</v>
      </c>
      <c r="J401" s="5"/>
      <c r="K401" s="5"/>
      <c r="L401" s="5"/>
      <c r="M401" s="5"/>
    </row>
    <row r="402" spans="2:13" x14ac:dyDescent="0.3">
      <c r="B402" t="s">
        <v>187</v>
      </c>
      <c r="C402" s="3" t="s">
        <v>207</v>
      </c>
      <c r="D402" s="132" t="str">
        <f>VLOOKUP(C402,Mapping!$AB$2:$AC$8,2,FALSE)</f>
        <v>Age 3 - 4</v>
      </c>
      <c r="E402" s="132" t="str">
        <f t="shared" si="16"/>
        <v>West Wimmera (S)Age 3 - 4</v>
      </c>
      <c r="F402" s="132" t="str">
        <f>INDEX(Mapping!$Y:$Y,MATCH($B402,Mapping!$W:$W,0))</f>
        <v>Rural</v>
      </c>
      <c r="G402" s="45">
        <v>35</v>
      </c>
      <c r="H402" s="45">
        <v>28</v>
      </c>
      <c r="I402" s="45">
        <v>35</v>
      </c>
      <c r="J402" s="5"/>
      <c r="K402" s="5"/>
      <c r="L402" s="5"/>
      <c r="M402" s="5"/>
    </row>
    <row r="403" spans="2:13" x14ac:dyDescent="0.3">
      <c r="B403" t="s">
        <v>127</v>
      </c>
      <c r="C403" s="3" t="s">
        <v>207</v>
      </c>
      <c r="D403" s="132" t="str">
        <f>VLOOKUP(C403,Mapping!$AB$2:$AC$8,2,FALSE)</f>
        <v>Age 3 - 4</v>
      </c>
      <c r="E403" s="132" t="str">
        <f t="shared" si="16"/>
        <v>Whitehorse (C)Age 3 - 4</v>
      </c>
      <c r="F403" s="132" t="str">
        <f>INDEX(Mapping!$Y:$Y,MATCH($B403,Mapping!$W:$W,0))</f>
        <v>Metro</v>
      </c>
      <c r="G403" s="45">
        <v>2070</v>
      </c>
      <c r="H403" s="45">
        <v>3638</v>
      </c>
      <c r="I403" s="45">
        <v>1607</v>
      </c>
      <c r="J403" s="5"/>
      <c r="K403" s="5"/>
      <c r="L403" s="5"/>
      <c r="M403" s="5"/>
    </row>
    <row r="404" spans="2:13" x14ac:dyDescent="0.3">
      <c r="B404" t="s">
        <v>145</v>
      </c>
      <c r="C404" s="3" t="s">
        <v>207</v>
      </c>
      <c r="D404" s="132" t="str">
        <f>VLOOKUP(C404,Mapping!$AB$2:$AC$8,2,FALSE)</f>
        <v>Age 3 - 4</v>
      </c>
      <c r="E404" s="132" t="str">
        <f t="shared" si="16"/>
        <v>Whittlesea (C)Age 3 - 4</v>
      </c>
      <c r="F404" s="132" t="str">
        <f>INDEX(Mapping!$Y:$Y,MATCH($B404,Mapping!$W:$W,0))</f>
        <v>Interface</v>
      </c>
      <c r="G404" s="45">
        <v>3317</v>
      </c>
      <c r="H404" s="45">
        <v>3554</v>
      </c>
      <c r="I404" s="45">
        <v>3602</v>
      </c>
      <c r="J404" s="5"/>
      <c r="K404" s="5"/>
      <c r="L404" s="5"/>
      <c r="M404" s="5"/>
    </row>
    <row r="405" spans="2:13" x14ac:dyDescent="0.3">
      <c r="B405" t="s">
        <v>128</v>
      </c>
      <c r="C405" s="3" t="s">
        <v>207</v>
      </c>
      <c r="D405" s="132" t="str">
        <f>VLOOKUP(C405,Mapping!$AB$2:$AC$8,2,FALSE)</f>
        <v>Age 3 - 4</v>
      </c>
      <c r="E405" s="132" t="str">
        <f t="shared" si="16"/>
        <v>Wodonga (RC)Age 3 - 4</v>
      </c>
      <c r="F405" s="132" t="str">
        <f>INDEX(Mapping!$Y:$Y,MATCH($B405,Mapping!$W:$W,0))</f>
        <v>Rural</v>
      </c>
      <c r="G405" s="45">
        <v>618</v>
      </c>
      <c r="H405" s="45">
        <v>603</v>
      </c>
      <c r="I405" s="45">
        <v>648</v>
      </c>
      <c r="J405" s="5"/>
      <c r="K405" s="5"/>
      <c r="L405" s="5"/>
      <c r="M405" s="5"/>
    </row>
    <row r="406" spans="2:13" x14ac:dyDescent="0.3">
      <c r="B406" t="s">
        <v>188</v>
      </c>
      <c r="C406" s="3" t="s">
        <v>207</v>
      </c>
      <c r="D406" s="132" t="str">
        <f>VLOOKUP(C406,Mapping!$AB$2:$AC$8,2,FALSE)</f>
        <v>Age 3 - 4</v>
      </c>
      <c r="E406" s="132" t="str">
        <f t="shared" si="16"/>
        <v>Wyndham (C)Age 3 - 4</v>
      </c>
      <c r="F406" s="132" t="str">
        <f>INDEX(Mapping!$Y:$Y,MATCH($B406,Mapping!$W:$W,0))</f>
        <v>Interface</v>
      </c>
      <c r="G406" s="45">
        <v>4632</v>
      </c>
      <c r="H406" s="45">
        <v>4672</v>
      </c>
      <c r="I406" s="45">
        <v>4936</v>
      </c>
      <c r="J406" s="5"/>
      <c r="K406" s="5"/>
      <c r="L406" s="5"/>
      <c r="M406" s="5"/>
    </row>
    <row r="407" spans="2:13" x14ac:dyDescent="0.3">
      <c r="B407" t="s">
        <v>146</v>
      </c>
      <c r="C407" s="3" t="s">
        <v>207</v>
      </c>
      <c r="D407" s="132" t="str">
        <f>VLOOKUP(C407,Mapping!$AB$2:$AC$8,2,FALSE)</f>
        <v>Age 3 - 4</v>
      </c>
      <c r="E407" s="132" t="str">
        <f t="shared" si="16"/>
        <v>Yarra (C)Age 3 - 4</v>
      </c>
      <c r="F407" s="132" t="str">
        <f>INDEX(Mapping!$Y:$Y,MATCH($B407,Mapping!$W:$W,0))</f>
        <v>Metro</v>
      </c>
      <c r="G407" s="45">
        <v>853</v>
      </c>
      <c r="H407" s="45">
        <v>923</v>
      </c>
      <c r="I407" s="45">
        <v>898</v>
      </c>
      <c r="J407" s="5"/>
      <c r="K407" s="5"/>
      <c r="L407" s="5"/>
      <c r="M407" s="5"/>
    </row>
    <row r="408" spans="2:13" x14ac:dyDescent="0.3">
      <c r="B408" t="s">
        <v>129</v>
      </c>
      <c r="C408" s="3" t="s">
        <v>207</v>
      </c>
      <c r="D408" s="132" t="str">
        <f>VLOOKUP(C408,Mapping!$AB$2:$AC$8,2,FALSE)</f>
        <v>Age 3 - 4</v>
      </c>
      <c r="E408" s="132" t="str">
        <f t="shared" si="16"/>
        <v>Yarra Ranges (S)Age 3 - 4</v>
      </c>
      <c r="F408" s="132" t="str">
        <f>INDEX(Mapping!$Y:$Y,MATCH($B408,Mapping!$W:$W,0))</f>
        <v>Interface</v>
      </c>
      <c r="G408" s="45">
        <v>1871</v>
      </c>
      <c r="H408" s="45">
        <v>1918</v>
      </c>
      <c r="I408" s="45">
        <v>1916</v>
      </c>
      <c r="J408" s="5"/>
      <c r="K408" s="5"/>
      <c r="L408" s="5"/>
      <c r="M408" s="5"/>
    </row>
    <row r="409" spans="2:13" x14ac:dyDescent="0.3">
      <c r="B409" t="s">
        <v>189</v>
      </c>
      <c r="C409" s="3" t="s">
        <v>207</v>
      </c>
      <c r="D409" s="132" t="str">
        <f>VLOOKUP(C409,Mapping!$AB$2:$AC$8,2,FALSE)</f>
        <v>Age 3 - 4</v>
      </c>
      <c r="E409" s="132" t="str">
        <f t="shared" si="16"/>
        <v>Yarriambiack (S)Age 3 - 4</v>
      </c>
      <c r="F409" s="132" t="str">
        <f>INDEX(Mapping!$Y:$Y,MATCH($B409,Mapping!$W:$W,0))</f>
        <v>Rural</v>
      </c>
      <c r="G409" s="45">
        <v>68</v>
      </c>
      <c r="H409" s="45">
        <v>64</v>
      </c>
      <c r="I409" s="45">
        <v>72</v>
      </c>
      <c r="J409" s="5"/>
      <c r="K409" s="5"/>
      <c r="L409" s="5"/>
      <c r="M409" s="5"/>
    </row>
    <row r="410" spans="2:13" x14ac:dyDescent="0.3">
      <c r="B410" t="s">
        <v>111</v>
      </c>
      <c r="C410" s="3" t="s">
        <v>208</v>
      </c>
      <c r="D410" s="132" t="str">
        <f>VLOOKUP(C410,Mapping!$AB$2:$AC$8,2,FALSE)</f>
        <v>Age 4 - 5</v>
      </c>
      <c r="E410" s="132" t="str">
        <f t="shared" si="16"/>
        <v>Alpine (S)Age 4 - 5</v>
      </c>
      <c r="F410" s="132" t="str">
        <f>INDEX(Mapping!$Y:$Y,MATCH($B410,Mapping!$W:$W,0))</f>
        <v>Rural</v>
      </c>
      <c r="G410" s="45">
        <v>131</v>
      </c>
      <c r="H410" s="45">
        <v>110</v>
      </c>
      <c r="I410" s="45">
        <v>96</v>
      </c>
      <c r="J410" s="5"/>
      <c r="K410" s="5"/>
      <c r="L410" s="5"/>
      <c r="M410" s="5"/>
    </row>
    <row r="411" spans="2:13" x14ac:dyDescent="0.3">
      <c r="B411" t="s">
        <v>163</v>
      </c>
      <c r="C411" s="3" t="s">
        <v>208</v>
      </c>
      <c r="D411" s="132" t="str">
        <f>VLOOKUP(C411,Mapping!$AB$2:$AC$8,2,FALSE)</f>
        <v>Age 4 - 5</v>
      </c>
      <c r="E411" s="132" t="str">
        <f t="shared" si="16"/>
        <v>Ararat (RC)Age 4 - 5</v>
      </c>
      <c r="F411" s="132" t="str">
        <f>INDEX(Mapping!$Y:$Y,MATCH($B411,Mapping!$W:$W,0))</f>
        <v>Rural</v>
      </c>
      <c r="G411" s="45">
        <v>158</v>
      </c>
      <c r="H411" s="45">
        <v>105</v>
      </c>
      <c r="I411" s="45">
        <v>97</v>
      </c>
      <c r="J411" s="5"/>
      <c r="K411" s="5"/>
      <c r="L411" s="5"/>
      <c r="M411" s="5"/>
    </row>
    <row r="412" spans="2:13" x14ac:dyDescent="0.3">
      <c r="B412" t="s">
        <v>164</v>
      </c>
      <c r="C412" s="3" t="s">
        <v>208</v>
      </c>
      <c r="D412" s="132" t="str">
        <f>VLOOKUP(C412,Mapping!$AB$2:$AC$8,2,FALSE)</f>
        <v>Age 4 - 5</v>
      </c>
      <c r="E412" s="132" t="str">
        <f t="shared" si="16"/>
        <v>Ballarat (C)Age 4 - 5</v>
      </c>
      <c r="F412" s="132" t="str">
        <f>INDEX(Mapping!$Y:$Y,MATCH($B412,Mapping!$W:$W,0))</f>
        <v>Rural</v>
      </c>
      <c r="G412" s="45">
        <v>1426</v>
      </c>
      <c r="H412" s="45">
        <v>1406</v>
      </c>
      <c r="I412" s="45">
        <v>1442</v>
      </c>
      <c r="J412" s="5"/>
      <c r="K412" s="5"/>
      <c r="L412" s="5"/>
      <c r="M412" s="5"/>
    </row>
    <row r="413" spans="2:13" x14ac:dyDescent="0.3">
      <c r="B413" t="s">
        <v>130</v>
      </c>
      <c r="C413" s="3" t="s">
        <v>208</v>
      </c>
      <c r="D413" s="132" t="str">
        <f>VLOOKUP(C413,Mapping!$AB$2:$AC$8,2,FALSE)</f>
        <v>Age 4 - 5</v>
      </c>
      <c r="E413" s="132" t="str">
        <f t="shared" si="16"/>
        <v>Banyule (C)Age 4 - 5</v>
      </c>
      <c r="F413" s="132" t="str">
        <f>INDEX(Mapping!$Y:$Y,MATCH($B413,Mapping!$W:$W,0))</f>
        <v>Metro</v>
      </c>
      <c r="G413" s="45">
        <v>1984</v>
      </c>
      <c r="H413" s="45">
        <v>1581</v>
      </c>
      <c r="I413" s="45">
        <v>1651</v>
      </c>
      <c r="J413" s="5"/>
      <c r="K413" s="5"/>
      <c r="L413" s="5"/>
      <c r="M413" s="5"/>
    </row>
    <row r="414" spans="2:13" x14ac:dyDescent="0.3">
      <c r="B414" t="s">
        <v>147</v>
      </c>
      <c r="C414" s="3" t="s">
        <v>208</v>
      </c>
      <c r="D414" s="132" t="str">
        <f>VLOOKUP(C414,Mapping!$AB$2:$AC$8,2,FALSE)</f>
        <v>Age 4 - 5</v>
      </c>
      <c r="E414" s="132" t="str">
        <f t="shared" si="16"/>
        <v>Bass Coast (S)Age 4 - 5</v>
      </c>
      <c r="F414" s="132" t="str">
        <f>INDEX(Mapping!$Y:$Y,MATCH($B414,Mapping!$W:$W,0))</f>
        <v>Rural</v>
      </c>
      <c r="G414" s="45">
        <v>477</v>
      </c>
      <c r="H414" s="45">
        <v>316</v>
      </c>
      <c r="I414" s="45">
        <v>325</v>
      </c>
      <c r="J414" s="5"/>
      <c r="K414" s="5"/>
      <c r="L414" s="5"/>
      <c r="M414" s="5"/>
    </row>
    <row r="415" spans="2:13" x14ac:dyDescent="0.3">
      <c r="B415" t="s">
        <v>148</v>
      </c>
      <c r="C415" s="3" t="s">
        <v>208</v>
      </c>
      <c r="D415" s="132" t="str">
        <f>VLOOKUP(C415,Mapping!$AB$2:$AC$8,2,FALSE)</f>
        <v>Age 4 - 5</v>
      </c>
      <c r="E415" s="132" t="str">
        <f t="shared" si="16"/>
        <v>Baw Baw (S)Age 4 - 5</v>
      </c>
      <c r="F415" s="132" t="str">
        <f>INDEX(Mapping!$Y:$Y,MATCH($B415,Mapping!$W:$W,0))</f>
        <v>Rural</v>
      </c>
      <c r="G415" s="45">
        <v>607</v>
      </c>
      <c r="H415" s="45">
        <v>625</v>
      </c>
      <c r="I415" s="45">
        <v>647</v>
      </c>
      <c r="J415" s="5"/>
      <c r="K415" s="5"/>
      <c r="L415" s="5"/>
      <c r="M415" s="5"/>
    </row>
    <row r="416" spans="2:13" x14ac:dyDescent="0.3">
      <c r="B416" t="s">
        <v>149</v>
      </c>
      <c r="C416" s="3" t="s">
        <v>208</v>
      </c>
      <c r="D416" s="132" t="str">
        <f>VLOOKUP(C416,Mapping!$AB$2:$AC$8,2,FALSE)</f>
        <v>Age 4 - 5</v>
      </c>
      <c r="E416" s="132" t="str">
        <f t="shared" si="16"/>
        <v>Bayside (C)Age 4 - 5</v>
      </c>
      <c r="F416" s="132" t="str">
        <f>INDEX(Mapping!$Y:$Y,MATCH($B416,Mapping!$W:$W,0))</f>
        <v>Metro</v>
      </c>
      <c r="G416" s="45">
        <v>1068</v>
      </c>
      <c r="H416" s="45">
        <v>1122</v>
      </c>
      <c r="I416" s="45">
        <v>1116</v>
      </c>
      <c r="J416" s="5"/>
      <c r="K416" s="5"/>
      <c r="L416" s="5"/>
      <c r="M416" s="5"/>
    </row>
    <row r="417" spans="2:13" x14ac:dyDescent="0.3">
      <c r="B417" t="s">
        <v>112</v>
      </c>
      <c r="C417" s="3" t="s">
        <v>208</v>
      </c>
      <c r="D417" s="132" t="str">
        <f>VLOOKUP(C417,Mapping!$AB$2:$AC$8,2,FALSE)</f>
        <v>Age 4 - 5</v>
      </c>
      <c r="E417" s="132" t="str">
        <f t="shared" si="16"/>
        <v>Benalla (RC)Age 4 - 5</v>
      </c>
      <c r="F417" s="132" t="str">
        <f>INDEX(Mapping!$Y:$Y,MATCH($B417,Mapping!$W:$W,0))</f>
        <v>Rural</v>
      </c>
      <c r="G417" s="45">
        <v>145</v>
      </c>
      <c r="H417" s="45">
        <v>162</v>
      </c>
      <c r="I417" s="45">
        <v>136</v>
      </c>
      <c r="J417" s="5"/>
      <c r="K417" s="5"/>
      <c r="L417" s="5"/>
      <c r="M417" s="5"/>
    </row>
    <row r="418" spans="2:13" x14ac:dyDescent="0.3">
      <c r="B418" t="s">
        <v>113</v>
      </c>
      <c r="C418" s="3" t="s">
        <v>208</v>
      </c>
      <c r="D418" s="132" t="str">
        <f>VLOOKUP(C418,Mapping!$AB$2:$AC$8,2,FALSE)</f>
        <v>Age 4 - 5</v>
      </c>
      <c r="E418" s="132" t="str">
        <f t="shared" si="16"/>
        <v>Boroondara (C)Age 4 - 5</v>
      </c>
      <c r="F418" s="132" t="str">
        <f>INDEX(Mapping!$Y:$Y,MATCH($B418,Mapping!$W:$W,0))</f>
        <v>Metro</v>
      </c>
      <c r="G418" s="45">
        <v>1691</v>
      </c>
      <c r="H418" s="45">
        <v>1807</v>
      </c>
      <c r="I418" s="45">
        <v>1651</v>
      </c>
      <c r="J418" s="5"/>
      <c r="K418" s="5"/>
      <c r="L418" s="5"/>
      <c r="M418" s="5"/>
    </row>
    <row r="419" spans="2:13" x14ac:dyDescent="0.3">
      <c r="B419" t="s">
        <v>165</v>
      </c>
      <c r="C419" s="3" t="s">
        <v>208</v>
      </c>
      <c r="D419" s="132" t="str">
        <f>VLOOKUP(C419,Mapping!$AB$2:$AC$8,2,FALSE)</f>
        <v>Age 4 - 5</v>
      </c>
      <c r="E419" s="132" t="str">
        <f t="shared" si="16"/>
        <v>Brimbank (C)Age 4 - 5</v>
      </c>
      <c r="F419" s="132" t="str">
        <f>INDEX(Mapping!$Y:$Y,MATCH($B419,Mapping!$W:$W,0))</f>
        <v>Metro</v>
      </c>
      <c r="G419" s="45">
        <v>2953</v>
      </c>
      <c r="H419" s="45">
        <v>3231</v>
      </c>
      <c r="I419" s="45">
        <v>3083</v>
      </c>
      <c r="J419" s="5"/>
      <c r="K419" s="5"/>
      <c r="L419" s="5"/>
      <c r="M419" s="5"/>
    </row>
    <row r="420" spans="2:13" x14ac:dyDescent="0.3">
      <c r="B420" t="s">
        <v>131</v>
      </c>
      <c r="C420" s="3" t="s">
        <v>208</v>
      </c>
      <c r="D420" s="132" t="str">
        <f>VLOOKUP(C420,Mapping!$AB$2:$AC$8,2,FALSE)</f>
        <v>Age 4 - 5</v>
      </c>
      <c r="E420" s="132" t="str">
        <f t="shared" si="16"/>
        <v>Buloke (S)Age 4 - 5</v>
      </c>
      <c r="F420" s="132" t="str">
        <f>INDEX(Mapping!$Y:$Y,MATCH($B420,Mapping!$W:$W,0))</f>
        <v>Rural</v>
      </c>
      <c r="G420" s="45">
        <v>56</v>
      </c>
      <c r="H420" s="45">
        <v>65</v>
      </c>
      <c r="I420" s="45">
        <v>64</v>
      </c>
      <c r="J420" s="5"/>
      <c r="K420" s="5"/>
      <c r="L420" s="5"/>
      <c r="M420" s="5"/>
    </row>
    <row r="421" spans="2:13" x14ac:dyDescent="0.3">
      <c r="B421" t="s">
        <v>132</v>
      </c>
      <c r="C421" s="3" t="s">
        <v>208</v>
      </c>
      <c r="D421" s="132" t="str">
        <f>VLOOKUP(C421,Mapping!$AB$2:$AC$8,2,FALSE)</f>
        <v>Age 4 - 5</v>
      </c>
      <c r="E421" s="132" t="str">
        <f t="shared" si="16"/>
        <v>Campaspe (S)Age 4 - 5</v>
      </c>
      <c r="F421" s="132" t="str">
        <f>INDEX(Mapping!$Y:$Y,MATCH($B421,Mapping!$W:$W,0))</f>
        <v>Rural</v>
      </c>
      <c r="G421" s="45">
        <v>482</v>
      </c>
      <c r="H421" s="45">
        <v>505</v>
      </c>
      <c r="I421" s="45">
        <v>476</v>
      </c>
      <c r="J421" s="5"/>
      <c r="K421" s="5"/>
      <c r="L421" s="5"/>
      <c r="M421" s="5"/>
    </row>
    <row r="422" spans="2:13" x14ac:dyDescent="0.3">
      <c r="B422" t="s">
        <v>150</v>
      </c>
      <c r="C422" s="3" t="s">
        <v>208</v>
      </c>
      <c r="D422" s="132" t="str">
        <f>VLOOKUP(C422,Mapping!$AB$2:$AC$8,2,FALSE)</f>
        <v>Age 4 - 5</v>
      </c>
      <c r="E422" s="132" t="str">
        <f t="shared" si="16"/>
        <v>Cardinia (S)Age 4 - 5</v>
      </c>
      <c r="F422" s="132" t="str">
        <f>INDEX(Mapping!$Y:$Y,MATCH($B422,Mapping!$W:$W,0))</f>
        <v>Interface</v>
      </c>
      <c r="G422" s="45">
        <v>1878</v>
      </c>
      <c r="H422" s="45">
        <v>1602</v>
      </c>
      <c r="I422" s="45">
        <v>1649</v>
      </c>
      <c r="J422" s="5"/>
      <c r="K422" s="5"/>
      <c r="L422" s="5"/>
      <c r="M422" s="5"/>
    </row>
    <row r="423" spans="2:13" x14ac:dyDescent="0.3">
      <c r="B423" t="s">
        <v>151</v>
      </c>
      <c r="C423" s="3" t="s">
        <v>208</v>
      </c>
      <c r="D423" s="132" t="str">
        <f>VLOOKUP(C423,Mapping!$AB$2:$AC$8,2,FALSE)</f>
        <v>Age 4 - 5</v>
      </c>
      <c r="E423" s="132" t="str">
        <f t="shared" si="16"/>
        <v>Casey (C)Age 4 - 5</v>
      </c>
      <c r="F423" s="132" t="str">
        <f>INDEX(Mapping!$Y:$Y,MATCH($B423,Mapping!$W:$W,0))</f>
        <v>Interface</v>
      </c>
      <c r="G423" s="45">
        <v>4699</v>
      </c>
      <c r="H423" s="45">
        <v>4839</v>
      </c>
      <c r="I423" s="45">
        <v>5110</v>
      </c>
      <c r="J423" s="5"/>
      <c r="K423" s="5"/>
      <c r="L423" s="5"/>
      <c r="M423" s="5"/>
    </row>
    <row r="424" spans="2:13" x14ac:dyDescent="0.3">
      <c r="B424" t="s">
        <v>133</v>
      </c>
      <c r="C424" s="3" t="s">
        <v>208</v>
      </c>
      <c r="D424" s="132" t="str">
        <f>VLOOKUP(C424,Mapping!$AB$2:$AC$8,2,FALSE)</f>
        <v>Age 4 - 5</v>
      </c>
      <c r="E424" s="132" t="str">
        <f t="shared" si="16"/>
        <v>Central Goldfields (S)Age 4 - 5</v>
      </c>
      <c r="F424" s="132" t="str">
        <f>INDEX(Mapping!$Y:$Y,MATCH($B424,Mapping!$W:$W,0))</f>
        <v>Rural</v>
      </c>
      <c r="G424" s="45">
        <v>169</v>
      </c>
      <c r="H424" s="45">
        <v>174</v>
      </c>
      <c r="I424" s="45">
        <v>116</v>
      </c>
      <c r="J424" s="5"/>
      <c r="K424" s="5"/>
      <c r="L424" s="5"/>
      <c r="M424" s="5"/>
    </row>
    <row r="425" spans="2:13" x14ac:dyDescent="0.3">
      <c r="B425" t="s">
        <v>166</v>
      </c>
      <c r="C425" s="3" t="s">
        <v>208</v>
      </c>
      <c r="D425" s="132" t="str">
        <f>VLOOKUP(C425,Mapping!$AB$2:$AC$8,2,FALSE)</f>
        <v>Age 4 - 5</v>
      </c>
      <c r="E425" s="132" t="str">
        <f t="shared" si="16"/>
        <v>Colac-Otway (S)Age 4 - 5</v>
      </c>
      <c r="F425" s="132" t="str">
        <f>INDEX(Mapping!$Y:$Y,MATCH($B425,Mapping!$W:$W,0))</f>
        <v>Rural</v>
      </c>
      <c r="G425" s="45">
        <v>283</v>
      </c>
      <c r="H425" s="45">
        <v>259</v>
      </c>
      <c r="I425" s="45">
        <v>252</v>
      </c>
      <c r="J425" s="5"/>
      <c r="K425" s="5"/>
      <c r="L425" s="5"/>
      <c r="M425" s="5"/>
    </row>
    <row r="426" spans="2:13" x14ac:dyDescent="0.3">
      <c r="B426" t="s">
        <v>167</v>
      </c>
      <c r="C426" s="3" t="s">
        <v>208</v>
      </c>
      <c r="D426" s="132" t="str">
        <f>VLOOKUP(C426,Mapping!$AB$2:$AC$8,2,FALSE)</f>
        <v>Age 4 - 5</v>
      </c>
      <c r="E426" s="132" t="str">
        <f t="shared" si="16"/>
        <v>Corangamite (S)Age 4 - 5</v>
      </c>
      <c r="F426" s="132" t="str">
        <f>INDEX(Mapping!$Y:$Y,MATCH($B426,Mapping!$W:$W,0))</f>
        <v>Rural</v>
      </c>
      <c r="G426" s="45">
        <v>203</v>
      </c>
      <c r="H426" s="45">
        <v>184</v>
      </c>
      <c r="I426" s="45">
        <v>141</v>
      </c>
      <c r="J426" s="5"/>
      <c r="K426" s="5"/>
      <c r="L426" s="5"/>
      <c r="M426" s="5"/>
    </row>
    <row r="427" spans="2:13" x14ac:dyDescent="0.3">
      <c r="B427" t="s">
        <v>134</v>
      </c>
      <c r="C427" s="3" t="s">
        <v>208</v>
      </c>
      <c r="D427" s="132" t="str">
        <f>VLOOKUP(C427,Mapping!$AB$2:$AC$8,2,FALSE)</f>
        <v>Age 4 - 5</v>
      </c>
      <c r="E427" s="132" t="str">
        <f t="shared" si="16"/>
        <v>Darebin (C)Age 4 - 5</v>
      </c>
      <c r="F427" s="132" t="str">
        <f>INDEX(Mapping!$Y:$Y,MATCH($B427,Mapping!$W:$W,0))</f>
        <v>Metro</v>
      </c>
      <c r="G427" s="45">
        <v>1344</v>
      </c>
      <c r="H427" s="45">
        <v>1514</v>
      </c>
      <c r="I427" s="45">
        <v>1419</v>
      </c>
      <c r="J427" s="5"/>
      <c r="K427" s="5"/>
      <c r="L427" s="5"/>
      <c r="M427" s="5"/>
    </row>
    <row r="428" spans="2:13" x14ac:dyDescent="0.3">
      <c r="B428" t="s">
        <v>152</v>
      </c>
      <c r="C428" s="3" t="s">
        <v>208</v>
      </c>
      <c r="D428" s="132" t="str">
        <f>VLOOKUP(C428,Mapping!$AB$2:$AC$8,2,FALSE)</f>
        <v>Age 4 - 5</v>
      </c>
      <c r="E428" s="132" t="str">
        <f t="shared" si="16"/>
        <v>East Gippsland (S)Age 4 - 5</v>
      </c>
      <c r="F428" s="132" t="str">
        <f>INDEX(Mapping!$Y:$Y,MATCH($B428,Mapping!$W:$W,0))</f>
        <v>Rural</v>
      </c>
      <c r="G428" s="45">
        <v>501</v>
      </c>
      <c r="H428" s="45">
        <v>460</v>
      </c>
      <c r="I428" s="45">
        <v>472</v>
      </c>
      <c r="J428" s="5"/>
      <c r="K428" s="5"/>
      <c r="L428" s="5"/>
      <c r="M428" s="5"/>
    </row>
    <row r="429" spans="2:13" x14ac:dyDescent="0.3">
      <c r="B429" t="s">
        <v>153</v>
      </c>
      <c r="C429" s="3" t="s">
        <v>208</v>
      </c>
      <c r="D429" s="132" t="str">
        <f>VLOOKUP(C429,Mapping!$AB$2:$AC$8,2,FALSE)</f>
        <v>Age 4 - 5</v>
      </c>
      <c r="E429" s="132" t="str">
        <f t="shared" si="16"/>
        <v>Frankston (C)Age 4 - 5</v>
      </c>
      <c r="F429" s="132" t="str">
        <f>INDEX(Mapping!$Y:$Y,MATCH($B429,Mapping!$W:$W,0))</f>
        <v>Metro</v>
      </c>
      <c r="G429" s="45">
        <v>2359</v>
      </c>
      <c r="H429" s="45">
        <v>2034</v>
      </c>
      <c r="I429" s="45">
        <v>1983</v>
      </c>
      <c r="J429" s="5"/>
      <c r="K429" s="5"/>
      <c r="L429" s="5"/>
      <c r="M429" s="5"/>
    </row>
    <row r="430" spans="2:13" x14ac:dyDescent="0.3">
      <c r="B430" t="s">
        <v>135</v>
      </c>
      <c r="C430" s="3" t="s">
        <v>208</v>
      </c>
      <c r="D430" s="132" t="str">
        <f>VLOOKUP(C430,Mapping!$AB$2:$AC$8,2,FALSE)</f>
        <v>Age 4 - 5</v>
      </c>
      <c r="E430" s="132" t="str">
        <f t="shared" si="16"/>
        <v>Gannawarra (S)Age 4 - 5</v>
      </c>
      <c r="F430" s="132" t="str">
        <f>INDEX(Mapping!$Y:$Y,MATCH($B430,Mapping!$W:$W,0))</f>
        <v>Rural</v>
      </c>
      <c r="G430" s="45">
        <v>130</v>
      </c>
      <c r="H430" s="45">
        <v>133</v>
      </c>
      <c r="I430" s="45">
        <v>114</v>
      </c>
      <c r="J430" s="5"/>
      <c r="K430" s="5"/>
      <c r="L430" s="5"/>
      <c r="M430" s="5"/>
    </row>
    <row r="431" spans="2:13" x14ac:dyDescent="0.3">
      <c r="B431" t="s">
        <v>154</v>
      </c>
      <c r="C431" s="3" t="s">
        <v>208</v>
      </c>
      <c r="D431" s="132" t="str">
        <f>VLOOKUP(C431,Mapping!$AB$2:$AC$8,2,FALSE)</f>
        <v>Age 4 - 5</v>
      </c>
      <c r="E431" s="132" t="str">
        <f t="shared" si="16"/>
        <v>Glen Eira (C)Age 4 - 5</v>
      </c>
      <c r="F431" s="132" t="str">
        <f>INDEX(Mapping!$Y:$Y,MATCH($B431,Mapping!$W:$W,0))</f>
        <v>Metro</v>
      </c>
      <c r="G431" s="45">
        <v>1806</v>
      </c>
      <c r="H431" s="45">
        <v>1915</v>
      </c>
      <c r="I431" s="45">
        <v>1683</v>
      </c>
      <c r="J431" s="5"/>
      <c r="K431" s="5"/>
      <c r="L431" s="5"/>
      <c r="M431" s="5"/>
    </row>
    <row r="432" spans="2:13" x14ac:dyDescent="0.3">
      <c r="B432" t="s">
        <v>168</v>
      </c>
      <c r="C432" s="3" t="s">
        <v>208</v>
      </c>
      <c r="D432" s="132" t="str">
        <f>VLOOKUP(C432,Mapping!$AB$2:$AC$8,2,FALSE)</f>
        <v>Age 4 - 5</v>
      </c>
      <c r="E432" s="132" t="str">
        <f t="shared" si="16"/>
        <v>Glenelg (S)Age 4 - 5</v>
      </c>
      <c r="F432" s="132" t="str">
        <f>INDEX(Mapping!$Y:$Y,MATCH($B432,Mapping!$W:$W,0))</f>
        <v>Rural</v>
      </c>
      <c r="G432" s="45">
        <v>258</v>
      </c>
      <c r="H432" s="45">
        <v>211</v>
      </c>
      <c r="I432" s="45">
        <v>201</v>
      </c>
      <c r="J432" s="5"/>
      <c r="K432" s="5"/>
      <c r="L432" s="5"/>
      <c r="M432" s="5"/>
    </row>
    <row r="433" spans="2:13" x14ac:dyDescent="0.3">
      <c r="B433" t="s">
        <v>169</v>
      </c>
      <c r="C433" s="3" t="s">
        <v>208</v>
      </c>
      <c r="D433" s="132" t="str">
        <f>VLOOKUP(C433,Mapping!$AB$2:$AC$8,2,FALSE)</f>
        <v>Age 4 - 5</v>
      </c>
      <c r="E433" s="132" t="str">
        <f t="shared" si="16"/>
        <v>Golden Plains (S)Age 4 - 5</v>
      </c>
      <c r="F433" s="132" t="str">
        <f>INDEX(Mapping!$Y:$Y,MATCH($B433,Mapping!$W:$W,0))</f>
        <v>Rural</v>
      </c>
      <c r="G433" s="45">
        <v>260</v>
      </c>
      <c r="H433" s="45">
        <v>297</v>
      </c>
      <c r="I433" s="45">
        <v>241</v>
      </c>
      <c r="J433" s="5"/>
      <c r="K433" s="5"/>
      <c r="L433" s="5"/>
      <c r="M433" s="5"/>
    </row>
    <row r="434" spans="2:13" x14ac:dyDescent="0.3">
      <c r="B434" t="s">
        <v>136</v>
      </c>
      <c r="C434" s="3" t="s">
        <v>208</v>
      </c>
      <c r="D434" s="132" t="str">
        <f>VLOOKUP(C434,Mapping!$AB$2:$AC$8,2,FALSE)</f>
        <v>Age 4 - 5</v>
      </c>
      <c r="E434" s="132" t="str">
        <f t="shared" si="16"/>
        <v>Greater Bendigo (C)Age 4 - 5</v>
      </c>
      <c r="F434" s="132" t="str">
        <f>INDEX(Mapping!$Y:$Y,MATCH($B434,Mapping!$W:$W,0))</f>
        <v>Rural</v>
      </c>
      <c r="G434" s="45">
        <v>1584</v>
      </c>
      <c r="H434" s="45">
        <v>1538</v>
      </c>
      <c r="I434" s="45">
        <v>1655</v>
      </c>
      <c r="J434" s="5"/>
      <c r="K434" s="5"/>
      <c r="L434" s="5"/>
      <c r="M434" s="5"/>
    </row>
    <row r="435" spans="2:13" x14ac:dyDescent="0.3">
      <c r="B435" t="s">
        <v>155</v>
      </c>
      <c r="C435" s="3" t="s">
        <v>208</v>
      </c>
      <c r="D435" s="132" t="str">
        <f>VLOOKUP(C435,Mapping!$AB$2:$AC$8,2,FALSE)</f>
        <v>Age 4 - 5</v>
      </c>
      <c r="E435" s="132" t="str">
        <f t="shared" si="16"/>
        <v>Greater Dandenong (C)Age 4 - 5</v>
      </c>
      <c r="F435" s="132" t="str">
        <f>INDEX(Mapping!$Y:$Y,MATCH($B435,Mapping!$W:$W,0))</f>
        <v>Metro</v>
      </c>
      <c r="G435" s="45">
        <v>2984</v>
      </c>
      <c r="H435" s="45">
        <v>1916</v>
      </c>
      <c r="I435" s="45">
        <v>2159</v>
      </c>
      <c r="J435" s="5"/>
      <c r="K435" s="5"/>
      <c r="L435" s="5"/>
      <c r="M435" s="5"/>
    </row>
    <row r="436" spans="2:13" x14ac:dyDescent="0.3">
      <c r="B436" t="s">
        <v>170</v>
      </c>
      <c r="C436" s="3" t="s">
        <v>208</v>
      </c>
      <c r="D436" s="132" t="str">
        <f>VLOOKUP(C436,Mapping!$AB$2:$AC$8,2,FALSE)</f>
        <v>Age 4 - 5</v>
      </c>
      <c r="E436" s="132" t="str">
        <f t="shared" si="16"/>
        <v>Greater Geelong (C)Age 4 - 5</v>
      </c>
      <c r="F436" s="132" t="str">
        <f>INDEX(Mapping!$Y:$Y,MATCH($B436,Mapping!$W:$W,0))</f>
        <v>Rural</v>
      </c>
      <c r="G436" s="45">
        <v>2775</v>
      </c>
      <c r="H436" s="45">
        <v>2898</v>
      </c>
      <c r="I436" s="45">
        <v>2906</v>
      </c>
      <c r="J436" s="5"/>
      <c r="K436" s="5"/>
      <c r="L436" s="5"/>
      <c r="M436" s="5"/>
    </row>
    <row r="437" spans="2:13" x14ac:dyDescent="0.3">
      <c r="B437" t="s">
        <v>114</v>
      </c>
      <c r="C437" s="3" t="s">
        <v>208</v>
      </c>
      <c r="D437" s="132" t="str">
        <f>VLOOKUP(C437,Mapping!$AB$2:$AC$8,2,FALSE)</f>
        <v>Age 4 - 5</v>
      </c>
      <c r="E437" s="132" t="str">
        <f t="shared" si="16"/>
        <v>Greater Shepparton (C)Age 4 - 5</v>
      </c>
      <c r="F437" s="132" t="str">
        <f>INDEX(Mapping!$Y:$Y,MATCH($B437,Mapping!$W:$W,0))</f>
        <v>Rural</v>
      </c>
      <c r="G437" s="45">
        <v>969</v>
      </c>
      <c r="H437" s="45">
        <v>967</v>
      </c>
      <c r="I437" s="45">
        <v>952</v>
      </c>
      <c r="J437" s="5"/>
      <c r="K437" s="5"/>
      <c r="L437" s="5"/>
      <c r="M437" s="5"/>
    </row>
    <row r="438" spans="2:13" x14ac:dyDescent="0.3">
      <c r="B438" t="s">
        <v>171</v>
      </c>
      <c r="C438" s="3" t="s">
        <v>208</v>
      </c>
      <c r="D438" s="132" t="str">
        <f>VLOOKUP(C438,Mapping!$AB$2:$AC$8,2,FALSE)</f>
        <v>Age 4 - 5</v>
      </c>
      <c r="E438" s="132" t="str">
        <f t="shared" si="16"/>
        <v>Hepburn (S)Age 4 - 5</v>
      </c>
      <c r="F438" s="132" t="str">
        <f>INDEX(Mapping!$Y:$Y,MATCH($B438,Mapping!$W:$W,0))</f>
        <v>Rural</v>
      </c>
      <c r="G438" s="45">
        <v>156</v>
      </c>
      <c r="H438" s="45">
        <v>142</v>
      </c>
      <c r="I438" s="45">
        <v>124</v>
      </c>
      <c r="J438" s="5"/>
      <c r="K438" s="5"/>
      <c r="L438" s="5"/>
      <c r="M438" s="5"/>
    </row>
    <row r="439" spans="2:13" x14ac:dyDescent="0.3">
      <c r="B439" t="s">
        <v>172</v>
      </c>
      <c r="C439" s="3" t="s">
        <v>208</v>
      </c>
      <c r="D439" s="132" t="str">
        <f>VLOOKUP(C439,Mapping!$AB$2:$AC$8,2,FALSE)</f>
        <v>Age 4 - 5</v>
      </c>
      <c r="E439" s="132" t="str">
        <f t="shared" si="16"/>
        <v>Hindmarsh (S)Age 4 - 5</v>
      </c>
      <c r="F439" s="132" t="str">
        <f>INDEX(Mapping!$Y:$Y,MATCH($B439,Mapping!$W:$W,0))</f>
        <v>Rural</v>
      </c>
      <c r="G439" s="45">
        <v>68</v>
      </c>
      <c r="H439" s="45">
        <v>71</v>
      </c>
      <c r="I439" s="45">
        <v>59</v>
      </c>
      <c r="J439" s="5"/>
      <c r="K439" s="5"/>
      <c r="L439" s="5"/>
      <c r="M439" s="5"/>
    </row>
    <row r="440" spans="2:13" x14ac:dyDescent="0.3">
      <c r="B440" t="s">
        <v>173</v>
      </c>
      <c r="C440" s="3" t="s">
        <v>208</v>
      </c>
      <c r="D440" s="132" t="str">
        <f>VLOOKUP(C440,Mapping!$AB$2:$AC$8,2,FALSE)</f>
        <v>Age 4 - 5</v>
      </c>
      <c r="E440" s="132" t="str">
        <f t="shared" si="16"/>
        <v>Hobsons Bay (C)Age 4 - 5</v>
      </c>
      <c r="F440" s="132" t="str">
        <f>INDEX(Mapping!$Y:$Y,MATCH($B440,Mapping!$W:$W,0))</f>
        <v>Metro</v>
      </c>
      <c r="G440" s="45">
        <v>1371</v>
      </c>
      <c r="H440" s="45">
        <v>1299</v>
      </c>
      <c r="I440" s="45">
        <v>1308</v>
      </c>
      <c r="J440" s="5"/>
      <c r="K440" s="5"/>
      <c r="L440" s="5"/>
      <c r="M440" s="5"/>
    </row>
    <row r="441" spans="2:13" x14ac:dyDescent="0.3">
      <c r="B441" t="s">
        <v>174</v>
      </c>
      <c r="C441" s="3" t="s">
        <v>208</v>
      </c>
      <c r="D441" s="132" t="str">
        <f>VLOOKUP(C441,Mapping!$AB$2:$AC$8,2,FALSE)</f>
        <v>Age 4 - 5</v>
      </c>
      <c r="E441" s="132" t="str">
        <f t="shared" si="16"/>
        <v>Horsham (RC)Age 4 - 5</v>
      </c>
      <c r="F441" s="132" t="str">
        <f>INDEX(Mapping!$Y:$Y,MATCH($B441,Mapping!$W:$W,0))</f>
        <v>Rural</v>
      </c>
      <c r="G441" s="45">
        <v>287</v>
      </c>
      <c r="H441" s="45">
        <v>259</v>
      </c>
      <c r="I441" s="45">
        <v>209</v>
      </c>
      <c r="J441" s="5"/>
      <c r="K441" s="5"/>
      <c r="L441" s="5"/>
      <c r="M441" s="5"/>
    </row>
    <row r="442" spans="2:13" x14ac:dyDescent="0.3">
      <c r="B442" t="s">
        <v>137</v>
      </c>
      <c r="C442" s="3" t="s">
        <v>208</v>
      </c>
      <c r="D442" s="132" t="str">
        <f>VLOOKUP(C442,Mapping!$AB$2:$AC$8,2,FALSE)</f>
        <v>Age 4 - 5</v>
      </c>
      <c r="E442" s="132" t="str">
        <f t="shared" si="16"/>
        <v>Hume (C)Age 4 - 5</v>
      </c>
      <c r="F442" s="132" t="str">
        <f>INDEX(Mapping!$Y:$Y,MATCH($B442,Mapping!$W:$W,0))</f>
        <v>Interface</v>
      </c>
      <c r="G442" s="45">
        <v>3137</v>
      </c>
      <c r="H442" s="45">
        <v>3311</v>
      </c>
      <c r="I442" s="45">
        <v>3526</v>
      </c>
      <c r="J442" s="5"/>
      <c r="K442" s="5"/>
      <c r="L442" s="5"/>
      <c r="M442" s="5"/>
    </row>
    <row r="443" spans="2:13" x14ac:dyDescent="0.3">
      <c r="B443" t="s">
        <v>115</v>
      </c>
      <c r="C443" s="3" t="s">
        <v>208</v>
      </c>
      <c r="D443" s="132" t="str">
        <f>VLOOKUP(C443,Mapping!$AB$2:$AC$8,2,FALSE)</f>
        <v>Age 4 - 5</v>
      </c>
      <c r="E443" s="132" t="str">
        <f t="shared" si="16"/>
        <v>Indigo (S)Age 4 - 5</v>
      </c>
      <c r="F443" s="132" t="str">
        <f>INDEX(Mapping!$Y:$Y,MATCH($B443,Mapping!$W:$W,0))</f>
        <v>Rural</v>
      </c>
      <c r="G443" s="45">
        <v>179</v>
      </c>
      <c r="H443" s="45">
        <v>163</v>
      </c>
      <c r="I443" s="45">
        <v>151</v>
      </c>
      <c r="J443" s="5"/>
      <c r="K443" s="5"/>
      <c r="L443" s="5"/>
      <c r="M443" s="5"/>
    </row>
    <row r="444" spans="2:13" x14ac:dyDescent="0.3">
      <c r="B444" t="s">
        <v>156</v>
      </c>
      <c r="C444" s="3" t="s">
        <v>208</v>
      </c>
      <c r="D444" s="132" t="str">
        <f>VLOOKUP(C444,Mapping!$AB$2:$AC$8,2,FALSE)</f>
        <v>Age 4 - 5</v>
      </c>
      <c r="E444" s="132" t="str">
        <f t="shared" si="16"/>
        <v>Kingston (C)Age 4 - 5</v>
      </c>
      <c r="F444" s="132" t="str">
        <f>INDEX(Mapping!$Y:$Y,MATCH($B444,Mapping!$W:$W,0))</f>
        <v>Metro</v>
      </c>
      <c r="G444" s="45">
        <v>1924</v>
      </c>
      <c r="H444" s="45">
        <v>2037</v>
      </c>
      <c r="I444" s="45">
        <v>2009</v>
      </c>
      <c r="J444" s="5"/>
      <c r="K444" s="5"/>
      <c r="L444" s="5"/>
      <c r="M444" s="5"/>
    </row>
    <row r="445" spans="2:13" x14ac:dyDescent="0.3">
      <c r="B445" t="s">
        <v>116</v>
      </c>
      <c r="C445" s="3" t="s">
        <v>208</v>
      </c>
      <c r="D445" s="132" t="str">
        <f>VLOOKUP(C445,Mapping!$AB$2:$AC$8,2,FALSE)</f>
        <v>Age 4 - 5</v>
      </c>
      <c r="E445" s="132" t="str">
        <f t="shared" si="16"/>
        <v>Knox (C)Age 4 - 5</v>
      </c>
      <c r="F445" s="132" t="str">
        <f>INDEX(Mapping!$Y:$Y,MATCH($B445,Mapping!$W:$W,0))</f>
        <v>Metro</v>
      </c>
      <c r="G445" s="45">
        <v>1907</v>
      </c>
      <c r="H445" s="45">
        <v>1883</v>
      </c>
      <c r="I445" s="45">
        <v>1860</v>
      </c>
      <c r="J445" s="5"/>
      <c r="K445" s="5"/>
      <c r="L445" s="5"/>
      <c r="M445" s="5"/>
    </row>
    <row r="446" spans="2:13" x14ac:dyDescent="0.3">
      <c r="B446" t="s">
        <v>157</v>
      </c>
      <c r="C446" s="3" t="s">
        <v>208</v>
      </c>
      <c r="D446" s="132" t="str">
        <f>VLOOKUP(C446,Mapping!$AB$2:$AC$8,2,FALSE)</f>
        <v>Age 4 - 5</v>
      </c>
      <c r="E446" s="132" t="str">
        <f t="shared" si="16"/>
        <v>Latrobe (C)Age 4 - 5</v>
      </c>
      <c r="F446" s="132" t="str">
        <f>INDEX(Mapping!$Y:$Y,MATCH($B446,Mapping!$W:$W,0))</f>
        <v>Rural</v>
      </c>
      <c r="G446" s="45">
        <v>996</v>
      </c>
      <c r="H446" s="45">
        <v>1042</v>
      </c>
      <c r="I446" s="45">
        <v>1032</v>
      </c>
      <c r="J446" s="5"/>
      <c r="K446" s="5"/>
      <c r="L446" s="5"/>
      <c r="M446" s="5"/>
    </row>
    <row r="447" spans="2:13" x14ac:dyDescent="0.3">
      <c r="B447" t="s">
        <v>138</v>
      </c>
      <c r="C447" s="3" t="s">
        <v>208</v>
      </c>
      <c r="D447" s="132" t="str">
        <f>VLOOKUP(C447,Mapping!$AB$2:$AC$8,2,FALSE)</f>
        <v>Age 4 - 5</v>
      </c>
      <c r="E447" s="132" t="str">
        <f t="shared" si="16"/>
        <v>Loddon (S)Age 4 - 5</v>
      </c>
      <c r="F447" s="132" t="str">
        <f>INDEX(Mapping!$Y:$Y,MATCH($B447,Mapping!$W:$W,0))</f>
        <v>Rural</v>
      </c>
      <c r="G447" s="45">
        <v>65</v>
      </c>
      <c r="H447" s="45">
        <v>74</v>
      </c>
      <c r="I447" s="45">
        <v>82</v>
      </c>
      <c r="J447" s="5"/>
      <c r="K447" s="5"/>
      <c r="L447" s="5"/>
      <c r="M447" s="5"/>
    </row>
    <row r="448" spans="2:13" x14ac:dyDescent="0.3">
      <c r="B448" t="s">
        <v>139</v>
      </c>
      <c r="C448" s="3" t="s">
        <v>208</v>
      </c>
      <c r="D448" s="132" t="str">
        <f>VLOOKUP(C448,Mapping!$AB$2:$AC$8,2,FALSE)</f>
        <v>Age 4 - 5</v>
      </c>
      <c r="E448" s="132" t="str">
        <f t="shared" si="16"/>
        <v>Macedon Ranges (S)Age 4 - 5</v>
      </c>
      <c r="F448" s="132" t="str">
        <f>INDEX(Mapping!$Y:$Y,MATCH($B448,Mapping!$W:$W,0))</f>
        <v>Rural</v>
      </c>
      <c r="G448" s="45">
        <v>700</v>
      </c>
      <c r="H448" s="45">
        <v>548</v>
      </c>
      <c r="I448" s="45">
        <v>617</v>
      </c>
      <c r="J448" s="5"/>
      <c r="K448" s="5"/>
      <c r="L448" s="5"/>
      <c r="M448" s="5"/>
    </row>
    <row r="449" spans="2:13" x14ac:dyDescent="0.3">
      <c r="B449" t="s">
        <v>117</v>
      </c>
      <c r="C449" s="3" t="s">
        <v>208</v>
      </c>
      <c r="D449" s="132" t="str">
        <f>VLOOKUP(C449,Mapping!$AB$2:$AC$8,2,FALSE)</f>
        <v>Age 4 - 5</v>
      </c>
      <c r="E449" s="132" t="str">
        <f t="shared" si="16"/>
        <v>Manningham (C)Age 4 - 5</v>
      </c>
      <c r="F449" s="132" t="str">
        <f>INDEX(Mapping!$Y:$Y,MATCH($B449,Mapping!$W:$W,0))</f>
        <v>Metro</v>
      </c>
      <c r="G449" s="45">
        <v>1180</v>
      </c>
      <c r="H449" s="45">
        <v>1214</v>
      </c>
      <c r="I449" s="45">
        <v>1162</v>
      </c>
      <c r="J449" s="5"/>
      <c r="K449" s="5"/>
      <c r="L449" s="5"/>
      <c r="M449" s="5"/>
    </row>
    <row r="450" spans="2:13" x14ac:dyDescent="0.3">
      <c r="B450" t="s">
        <v>118</v>
      </c>
      <c r="C450" s="3" t="s">
        <v>208</v>
      </c>
      <c r="D450" s="132" t="str">
        <f>VLOOKUP(C450,Mapping!$AB$2:$AC$8,2,FALSE)</f>
        <v>Age 4 - 5</v>
      </c>
      <c r="E450" s="132" t="str">
        <f t="shared" si="16"/>
        <v>Mansfield (S)Age 4 - 5</v>
      </c>
      <c r="F450" s="132" t="str">
        <f>INDEX(Mapping!$Y:$Y,MATCH($B450,Mapping!$W:$W,0))</f>
        <v>Rural</v>
      </c>
      <c r="G450" s="45">
        <v>86</v>
      </c>
      <c r="H450" s="45">
        <v>90</v>
      </c>
      <c r="I450" s="45">
        <v>84</v>
      </c>
      <c r="J450" s="5"/>
      <c r="K450" s="5"/>
      <c r="L450" s="5"/>
      <c r="M450" s="5"/>
    </row>
    <row r="451" spans="2:13" x14ac:dyDescent="0.3">
      <c r="B451" t="s">
        <v>175</v>
      </c>
      <c r="C451" s="3" t="s">
        <v>208</v>
      </c>
      <c r="D451" s="132" t="str">
        <f>VLOOKUP(C451,Mapping!$AB$2:$AC$8,2,FALSE)</f>
        <v>Age 4 - 5</v>
      </c>
      <c r="E451" s="132" t="str">
        <f t="shared" si="16"/>
        <v>Maribyrnong (C)Age 4 - 5</v>
      </c>
      <c r="F451" s="132" t="str">
        <f>INDEX(Mapping!$Y:$Y,MATCH($B451,Mapping!$W:$W,0))</f>
        <v>Metro</v>
      </c>
      <c r="G451" s="45">
        <v>1145</v>
      </c>
      <c r="H451" s="45">
        <v>1240</v>
      </c>
      <c r="I451" s="45">
        <v>1188</v>
      </c>
      <c r="J451" s="5"/>
      <c r="K451" s="5"/>
      <c r="L451" s="5"/>
      <c r="M451" s="5"/>
    </row>
    <row r="452" spans="2:13" x14ac:dyDescent="0.3">
      <c r="B452" t="s">
        <v>119</v>
      </c>
      <c r="C452" s="3" t="s">
        <v>208</v>
      </c>
      <c r="D452" s="132" t="str">
        <f>VLOOKUP(C452,Mapping!$AB$2:$AC$8,2,FALSE)</f>
        <v>Age 4 - 5</v>
      </c>
      <c r="E452" s="132" t="str">
        <f t="shared" si="16"/>
        <v>Maroondah (C)Age 4 - 5</v>
      </c>
      <c r="F452" s="132" t="str">
        <f>INDEX(Mapping!$Y:$Y,MATCH($B452,Mapping!$W:$W,0))</f>
        <v>Metro</v>
      </c>
      <c r="G452" s="45">
        <v>1545</v>
      </c>
      <c r="H452" s="45">
        <v>1602</v>
      </c>
      <c r="I452" s="45">
        <v>1577</v>
      </c>
      <c r="J452" s="5"/>
      <c r="K452" s="5"/>
      <c r="L452" s="5"/>
      <c r="M452" s="5"/>
    </row>
    <row r="453" spans="2:13" x14ac:dyDescent="0.3">
      <c r="B453" t="s">
        <v>176</v>
      </c>
      <c r="C453" s="3" t="s">
        <v>208</v>
      </c>
      <c r="D453" s="132" t="str">
        <f>VLOOKUP(C453,Mapping!$AB$2:$AC$8,2,FALSE)</f>
        <v>Age 4 - 5</v>
      </c>
      <c r="E453" s="132" t="str">
        <f t="shared" si="16"/>
        <v>Melbourne (C)Age 4 - 5</v>
      </c>
      <c r="F453" s="132" t="str">
        <f>INDEX(Mapping!$Y:$Y,MATCH($B453,Mapping!$W:$W,0))</f>
        <v>Metro</v>
      </c>
      <c r="G453" s="45">
        <v>822</v>
      </c>
      <c r="H453" s="45">
        <v>925</v>
      </c>
      <c r="I453" s="45">
        <v>986</v>
      </c>
      <c r="J453" s="5"/>
      <c r="K453" s="5"/>
      <c r="L453" s="5"/>
      <c r="M453" s="5"/>
    </row>
    <row r="454" spans="2:13" x14ac:dyDescent="0.3">
      <c r="B454" t="s">
        <v>177</v>
      </c>
      <c r="C454" s="3" t="s">
        <v>208</v>
      </c>
      <c r="D454" s="132" t="str">
        <f>VLOOKUP(C454,Mapping!$AB$2:$AC$8,2,FALSE)</f>
        <v>Age 4 - 5</v>
      </c>
      <c r="E454" s="132" t="str">
        <f t="shared" si="16"/>
        <v>Melton (C)Age 4 - 5</v>
      </c>
      <c r="F454" s="132" t="str">
        <f>INDEX(Mapping!$Y:$Y,MATCH($B454,Mapping!$W:$W,0))</f>
        <v>Interface</v>
      </c>
      <c r="G454" s="45">
        <v>2456</v>
      </c>
      <c r="H454" s="45">
        <v>2509</v>
      </c>
      <c r="I454" s="45">
        <v>2513</v>
      </c>
      <c r="J454" s="5"/>
      <c r="K454" s="5"/>
      <c r="L454" s="5"/>
      <c r="M454" s="5"/>
    </row>
    <row r="455" spans="2:13" x14ac:dyDescent="0.3">
      <c r="B455" t="s">
        <v>140</v>
      </c>
      <c r="C455" s="3" t="s">
        <v>208</v>
      </c>
      <c r="D455" s="132" t="str">
        <f>VLOOKUP(C455,Mapping!$AB$2:$AC$8,2,FALSE)</f>
        <v>Age 4 - 5</v>
      </c>
      <c r="E455" s="132" t="str">
        <f t="shared" si="16"/>
        <v>Mildura (RC)Age 4 - 5</v>
      </c>
      <c r="F455" s="132" t="str">
        <f>INDEX(Mapping!$Y:$Y,MATCH($B455,Mapping!$W:$W,0))</f>
        <v>Rural</v>
      </c>
      <c r="G455" s="45">
        <v>755</v>
      </c>
      <c r="H455" s="45">
        <v>684</v>
      </c>
      <c r="I455" s="45">
        <v>744</v>
      </c>
      <c r="J455" s="5"/>
      <c r="K455" s="5"/>
      <c r="L455" s="5"/>
      <c r="M455" s="5"/>
    </row>
    <row r="456" spans="2:13" x14ac:dyDescent="0.3">
      <c r="B456" t="s">
        <v>120</v>
      </c>
      <c r="C456" s="3" t="s">
        <v>208</v>
      </c>
      <c r="D456" s="132" t="str">
        <f>VLOOKUP(C456,Mapping!$AB$2:$AC$8,2,FALSE)</f>
        <v>Age 4 - 5</v>
      </c>
      <c r="E456" s="132" t="str">
        <f t="shared" si="16"/>
        <v>Mitchell (S)Age 4 - 5</v>
      </c>
      <c r="F456" s="132" t="str">
        <f>INDEX(Mapping!$Y:$Y,MATCH($B456,Mapping!$W:$W,0))</f>
        <v>Interface</v>
      </c>
      <c r="G456" s="45">
        <v>753</v>
      </c>
      <c r="H456" s="45">
        <v>571</v>
      </c>
      <c r="I456" s="45">
        <v>557</v>
      </c>
      <c r="J456" s="5"/>
      <c r="K456" s="5"/>
      <c r="L456" s="5"/>
      <c r="M456" s="5"/>
    </row>
    <row r="457" spans="2:13" x14ac:dyDescent="0.3">
      <c r="B457" t="s">
        <v>121</v>
      </c>
      <c r="C457" s="3" t="s">
        <v>208</v>
      </c>
      <c r="D457" s="132" t="str">
        <f>VLOOKUP(C457,Mapping!$AB$2:$AC$8,2,FALSE)</f>
        <v>Age 4 - 5</v>
      </c>
      <c r="E457" s="132" t="str">
        <f t="shared" si="16"/>
        <v>Moira (S)Age 4 - 5</v>
      </c>
      <c r="F457" s="132" t="str">
        <f>INDEX(Mapping!$Y:$Y,MATCH($B457,Mapping!$W:$W,0))</f>
        <v>Rural</v>
      </c>
      <c r="G457" s="45">
        <v>419</v>
      </c>
      <c r="H457" s="45">
        <v>400</v>
      </c>
      <c r="I457" s="45">
        <v>402</v>
      </c>
      <c r="J457" s="5"/>
      <c r="K457" s="5"/>
      <c r="L457" s="5"/>
      <c r="M457" s="5"/>
    </row>
    <row r="458" spans="2:13" x14ac:dyDescent="0.3">
      <c r="B458" t="s">
        <v>122</v>
      </c>
      <c r="C458" s="3" t="s">
        <v>208</v>
      </c>
      <c r="D458" s="132" t="str">
        <f>VLOOKUP(C458,Mapping!$AB$2:$AC$8,2,FALSE)</f>
        <v>Age 4 - 5</v>
      </c>
      <c r="E458" s="132" t="str">
        <f t="shared" si="16"/>
        <v>Monash (C)Age 4 - 5</v>
      </c>
      <c r="F458" s="132" t="str">
        <f>INDEX(Mapping!$Y:$Y,MATCH($B458,Mapping!$W:$W,0))</f>
        <v>Metro</v>
      </c>
      <c r="G458" s="45">
        <v>1934</v>
      </c>
      <c r="H458" s="45">
        <v>2037</v>
      </c>
      <c r="I458" s="45">
        <v>1965</v>
      </c>
      <c r="J458" s="5"/>
      <c r="K458" s="5"/>
      <c r="L458" s="5"/>
      <c r="M458" s="5"/>
    </row>
    <row r="459" spans="2:13" x14ac:dyDescent="0.3">
      <c r="B459" t="s">
        <v>178</v>
      </c>
      <c r="C459" s="3" t="s">
        <v>208</v>
      </c>
      <c r="D459" s="132" t="str">
        <f>VLOOKUP(C459,Mapping!$AB$2:$AC$8,2,FALSE)</f>
        <v>Age 4 - 5</v>
      </c>
      <c r="E459" s="132" t="str">
        <f t="shared" si="16"/>
        <v>Moonee Valley (C)Age 4 - 5</v>
      </c>
      <c r="F459" s="132" t="str">
        <f>INDEX(Mapping!$Y:$Y,MATCH($B459,Mapping!$W:$W,0))</f>
        <v>Metro</v>
      </c>
      <c r="G459" s="45">
        <v>1387</v>
      </c>
      <c r="H459" s="45">
        <v>1350</v>
      </c>
      <c r="I459" s="45">
        <v>1250</v>
      </c>
      <c r="J459" s="5"/>
      <c r="K459" s="5"/>
      <c r="L459" s="5"/>
      <c r="M459" s="5"/>
    </row>
    <row r="460" spans="2:13" x14ac:dyDescent="0.3">
      <c r="B460" t="s">
        <v>179</v>
      </c>
      <c r="C460" s="3" t="s">
        <v>208</v>
      </c>
      <c r="D460" s="132" t="str">
        <f>VLOOKUP(C460,Mapping!$AB$2:$AC$8,2,FALSE)</f>
        <v>Age 4 - 5</v>
      </c>
      <c r="E460" s="132" t="str">
        <f t="shared" si="16"/>
        <v>Moorabool (S)Age 4 - 5</v>
      </c>
      <c r="F460" s="132" t="str">
        <f>INDEX(Mapping!$Y:$Y,MATCH($B460,Mapping!$W:$W,0))</f>
        <v>Rural</v>
      </c>
      <c r="G460" s="45">
        <v>381</v>
      </c>
      <c r="H460" s="45">
        <v>414</v>
      </c>
      <c r="I460" s="45">
        <v>356</v>
      </c>
      <c r="J460" s="5"/>
      <c r="K460" s="5"/>
      <c r="L460" s="5"/>
      <c r="M460" s="5"/>
    </row>
    <row r="461" spans="2:13" x14ac:dyDescent="0.3">
      <c r="B461" t="s">
        <v>141</v>
      </c>
      <c r="C461" s="3" t="s">
        <v>208</v>
      </c>
      <c r="D461" s="132" t="str">
        <f>VLOOKUP(C461,Mapping!$AB$2:$AC$8,2,FALSE)</f>
        <v>Age 4 - 5</v>
      </c>
      <c r="E461" s="132" t="str">
        <f t="shared" si="16"/>
        <v>Moreland (C)Age 4 - 5</v>
      </c>
      <c r="F461" s="132" t="str">
        <f>INDEX(Mapping!$Y:$Y,MATCH($B461,Mapping!$W:$W,0))</f>
        <v>Metro</v>
      </c>
      <c r="G461" s="45">
        <v>2217</v>
      </c>
      <c r="H461" s="45">
        <v>2332</v>
      </c>
      <c r="I461" s="45">
        <v>2338</v>
      </c>
      <c r="J461" s="5"/>
      <c r="K461" s="5"/>
      <c r="L461" s="5"/>
      <c r="M461" s="5"/>
    </row>
    <row r="462" spans="2:13" x14ac:dyDescent="0.3">
      <c r="B462" t="s">
        <v>158</v>
      </c>
      <c r="C462" s="3" t="s">
        <v>208</v>
      </c>
      <c r="D462" s="132" t="str">
        <f>VLOOKUP(C462,Mapping!$AB$2:$AC$8,2,FALSE)</f>
        <v>Age 4 - 5</v>
      </c>
      <c r="E462" s="132" t="str">
        <f t="shared" si="16"/>
        <v>Mornington Peninsula (S)Age 4 - 5</v>
      </c>
      <c r="F462" s="132" t="str">
        <f>INDEX(Mapping!$Y:$Y,MATCH($B462,Mapping!$W:$W,0))</f>
        <v>Interface</v>
      </c>
      <c r="G462" s="45">
        <v>2076</v>
      </c>
      <c r="H462" s="45">
        <v>1805</v>
      </c>
      <c r="I462" s="45">
        <v>1827</v>
      </c>
      <c r="J462" s="5"/>
      <c r="K462" s="5"/>
      <c r="L462" s="5"/>
      <c r="M462" s="5"/>
    </row>
    <row r="463" spans="2:13" x14ac:dyDescent="0.3">
      <c r="B463" t="s">
        <v>142</v>
      </c>
      <c r="C463" s="3" t="s">
        <v>208</v>
      </c>
      <c r="D463" s="132" t="str">
        <f>VLOOKUP(C463,Mapping!$AB$2:$AC$8,2,FALSE)</f>
        <v>Age 4 - 5</v>
      </c>
      <c r="E463" s="132" t="str">
        <f t="shared" si="16"/>
        <v>Mount Alexander (S)Age 4 - 5</v>
      </c>
      <c r="F463" s="132" t="str">
        <f>INDEX(Mapping!$Y:$Y,MATCH($B463,Mapping!$W:$W,0))</f>
        <v>Rural</v>
      </c>
      <c r="G463" s="45">
        <v>160</v>
      </c>
      <c r="H463" s="45">
        <v>175</v>
      </c>
      <c r="I463" s="45">
        <v>205</v>
      </c>
      <c r="J463" s="5"/>
      <c r="K463" s="5"/>
      <c r="L463" s="5"/>
      <c r="M463" s="5"/>
    </row>
    <row r="464" spans="2:13" x14ac:dyDescent="0.3">
      <c r="B464" t="s">
        <v>180</v>
      </c>
      <c r="C464" s="3" t="s">
        <v>208</v>
      </c>
      <c r="D464" s="132" t="str">
        <f>VLOOKUP(C464,Mapping!$AB$2:$AC$8,2,FALSE)</f>
        <v>Age 4 - 5</v>
      </c>
      <c r="E464" s="132" t="str">
        <f t="shared" ref="E464:E527" si="17">B464&amp;D464</f>
        <v>Moyne (S)Age 4 - 5</v>
      </c>
      <c r="F464" s="132" t="str">
        <f>INDEX(Mapping!$Y:$Y,MATCH($B464,Mapping!$W:$W,0))</f>
        <v>Rural</v>
      </c>
      <c r="G464" s="45">
        <v>265</v>
      </c>
      <c r="H464" s="45">
        <v>205</v>
      </c>
      <c r="I464" s="45">
        <v>171</v>
      </c>
      <c r="J464" s="5"/>
      <c r="K464" s="5"/>
      <c r="L464" s="5"/>
      <c r="M464" s="5"/>
    </row>
    <row r="465" spans="2:13" x14ac:dyDescent="0.3">
      <c r="B465" t="s">
        <v>123</v>
      </c>
      <c r="C465" s="3" t="s">
        <v>208</v>
      </c>
      <c r="D465" s="132" t="str">
        <f>VLOOKUP(C465,Mapping!$AB$2:$AC$8,2,FALSE)</f>
        <v>Age 4 - 5</v>
      </c>
      <c r="E465" s="132" t="str">
        <f t="shared" si="17"/>
        <v>Murrindindi (S)Age 4 - 5</v>
      </c>
      <c r="F465" s="132" t="str">
        <f>INDEX(Mapping!$Y:$Y,MATCH($B465,Mapping!$W:$W,0))</f>
        <v>Rural</v>
      </c>
      <c r="G465" s="45">
        <v>152</v>
      </c>
      <c r="H465" s="45">
        <v>138</v>
      </c>
      <c r="I465" s="45">
        <v>128</v>
      </c>
      <c r="J465" s="5"/>
      <c r="K465" s="5"/>
      <c r="L465" s="5"/>
      <c r="M465" s="5"/>
    </row>
    <row r="466" spans="2:13" x14ac:dyDescent="0.3">
      <c r="B466" t="s">
        <v>143</v>
      </c>
      <c r="C466" s="3" t="s">
        <v>208</v>
      </c>
      <c r="D466" s="132" t="str">
        <f>VLOOKUP(C466,Mapping!$AB$2:$AC$8,2,FALSE)</f>
        <v>Age 4 - 5</v>
      </c>
      <c r="E466" s="132" t="str">
        <f t="shared" si="17"/>
        <v>Nillumbik (S)Age 4 - 5</v>
      </c>
      <c r="F466" s="132" t="str">
        <f>INDEX(Mapping!$Y:$Y,MATCH($B466,Mapping!$W:$W,0))</f>
        <v>Interface</v>
      </c>
      <c r="G466" s="45">
        <v>813</v>
      </c>
      <c r="H466" s="45">
        <v>698</v>
      </c>
      <c r="I466" s="45">
        <v>691</v>
      </c>
      <c r="J466" s="5"/>
      <c r="K466" s="5"/>
      <c r="L466" s="5"/>
      <c r="M466" s="5"/>
    </row>
    <row r="467" spans="2:13" x14ac:dyDescent="0.3">
      <c r="B467" t="s">
        <v>181</v>
      </c>
      <c r="C467" s="3" t="s">
        <v>208</v>
      </c>
      <c r="D467" s="132" t="str">
        <f>VLOOKUP(C467,Mapping!$AB$2:$AC$8,2,FALSE)</f>
        <v>Age 4 - 5</v>
      </c>
      <c r="E467" s="132" t="str">
        <f t="shared" si="17"/>
        <v>Northern Grampians (S)Age 4 - 5</v>
      </c>
      <c r="F467" s="132" t="str">
        <f>INDEX(Mapping!$Y:$Y,MATCH($B467,Mapping!$W:$W,0))</f>
        <v>Rural</v>
      </c>
      <c r="G467" s="45">
        <v>114</v>
      </c>
      <c r="H467" s="45">
        <v>107</v>
      </c>
      <c r="I467" s="45">
        <v>98</v>
      </c>
      <c r="J467" s="5"/>
      <c r="K467" s="5"/>
      <c r="L467" s="5"/>
      <c r="M467" s="5"/>
    </row>
    <row r="468" spans="2:13" x14ac:dyDescent="0.3">
      <c r="B468" t="s">
        <v>159</v>
      </c>
      <c r="C468" s="3" t="s">
        <v>208</v>
      </c>
      <c r="D468" s="132" t="str">
        <f>VLOOKUP(C468,Mapping!$AB$2:$AC$8,2,FALSE)</f>
        <v>Age 4 - 5</v>
      </c>
      <c r="E468" s="132" t="str">
        <f t="shared" si="17"/>
        <v>Port Phillip (C)Age 4 - 5</v>
      </c>
      <c r="F468" s="132" t="str">
        <f>INDEX(Mapping!$Y:$Y,MATCH($B468,Mapping!$W:$W,0))</f>
        <v>Metro</v>
      </c>
      <c r="G468" s="45">
        <v>1211</v>
      </c>
      <c r="H468" s="45">
        <v>1286</v>
      </c>
      <c r="I468" s="45">
        <v>1153</v>
      </c>
      <c r="J468" s="5"/>
      <c r="K468" s="5"/>
      <c r="L468" s="5"/>
      <c r="M468" s="5"/>
    </row>
    <row r="469" spans="2:13" x14ac:dyDescent="0.3">
      <c r="B469" t="s">
        <v>182</v>
      </c>
      <c r="C469" s="3" t="s">
        <v>208</v>
      </c>
      <c r="D469" s="132" t="str">
        <f>VLOOKUP(C469,Mapping!$AB$2:$AC$8,2,FALSE)</f>
        <v>Age 4 - 5</v>
      </c>
      <c r="E469" s="132" t="str">
        <f t="shared" si="17"/>
        <v>Pyrenees (S)Age 4 - 5</v>
      </c>
      <c r="F469" s="132" t="str">
        <f>INDEX(Mapping!$Y:$Y,MATCH($B469,Mapping!$W:$W,0))</f>
        <v>Rural</v>
      </c>
      <c r="G469" s="45">
        <v>71</v>
      </c>
      <c r="H469" s="45">
        <v>54</v>
      </c>
      <c r="I469" s="45">
        <v>57</v>
      </c>
      <c r="J469" s="5"/>
      <c r="K469" s="5"/>
      <c r="L469" s="5"/>
      <c r="M469" s="5"/>
    </row>
    <row r="470" spans="2:13" x14ac:dyDescent="0.3">
      <c r="B470" t="s">
        <v>183</v>
      </c>
      <c r="C470" s="3" t="s">
        <v>208</v>
      </c>
      <c r="D470" s="132" t="str">
        <f>VLOOKUP(C470,Mapping!$AB$2:$AC$8,2,FALSE)</f>
        <v>Age 4 - 5</v>
      </c>
      <c r="E470" s="132" t="str">
        <f t="shared" si="17"/>
        <v>Queenscliffe (B)Age 4 - 5</v>
      </c>
      <c r="F470" s="132" t="str">
        <f>INDEX(Mapping!$Y:$Y,MATCH($B470,Mapping!$W:$W,0))</f>
        <v>Rural</v>
      </c>
      <c r="G470" s="45">
        <v>34</v>
      </c>
      <c r="H470" s="45">
        <v>23</v>
      </c>
      <c r="I470" s="45">
        <v>23</v>
      </c>
      <c r="J470" s="5"/>
      <c r="K470" s="5"/>
      <c r="L470" s="5"/>
      <c r="M470" s="5"/>
    </row>
    <row r="471" spans="2:13" x14ac:dyDescent="0.3">
      <c r="B471" t="s">
        <v>160</v>
      </c>
      <c r="C471" s="3" t="s">
        <v>208</v>
      </c>
      <c r="D471" s="132" t="str">
        <f>VLOOKUP(C471,Mapping!$AB$2:$AC$8,2,FALSE)</f>
        <v>Age 4 - 5</v>
      </c>
      <c r="E471" s="132" t="str">
        <f t="shared" si="17"/>
        <v>South Gippsland (S)Age 4 - 5</v>
      </c>
      <c r="F471" s="132" t="str">
        <f>INDEX(Mapping!$Y:$Y,MATCH($B471,Mapping!$W:$W,0))</f>
        <v>Rural</v>
      </c>
      <c r="G471" s="45">
        <v>327</v>
      </c>
      <c r="H471" s="45">
        <v>209</v>
      </c>
      <c r="I471" s="45">
        <v>333</v>
      </c>
      <c r="J471" s="5"/>
      <c r="K471" s="5"/>
      <c r="L471" s="5"/>
      <c r="M471" s="5"/>
    </row>
    <row r="472" spans="2:13" x14ac:dyDescent="0.3">
      <c r="B472" t="s">
        <v>184</v>
      </c>
      <c r="C472" s="3" t="s">
        <v>208</v>
      </c>
      <c r="D472" s="132" t="str">
        <f>VLOOKUP(C472,Mapping!$AB$2:$AC$8,2,FALSE)</f>
        <v>Age 4 - 5</v>
      </c>
      <c r="E472" s="132" t="str">
        <f t="shared" si="17"/>
        <v>Southern Grampians (S)Age 4 - 5</v>
      </c>
      <c r="F472" s="132" t="str">
        <f>INDEX(Mapping!$Y:$Y,MATCH($B472,Mapping!$W:$W,0))</f>
        <v>Rural</v>
      </c>
      <c r="G472" s="45">
        <v>217</v>
      </c>
      <c r="H472" s="45">
        <v>197</v>
      </c>
      <c r="I472" s="45">
        <v>206</v>
      </c>
      <c r="J472" s="5"/>
      <c r="K472" s="5"/>
      <c r="L472" s="5"/>
      <c r="M472" s="5"/>
    </row>
    <row r="473" spans="2:13" x14ac:dyDescent="0.3">
      <c r="B473" t="s">
        <v>161</v>
      </c>
      <c r="C473" s="3" t="s">
        <v>208</v>
      </c>
      <c r="D473" s="132" t="str">
        <f>VLOOKUP(C473,Mapping!$AB$2:$AC$8,2,FALSE)</f>
        <v>Age 4 - 5</v>
      </c>
      <c r="E473" s="132" t="str">
        <f t="shared" si="17"/>
        <v>Stonnington (C)Age 4 - 5</v>
      </c>
      <c r="F473" s="132" t="str">
        <f>INDEX(Mapping!$Y:$Y,MATCH($B473,Mapping!$W:$W,0))</f>
        <v>Metro</v>
      </c>
      <c r="G473" s="45">
        <v>1305</v>
      </c>
      <c r="H473" s="45">
        <v>1016</v>
      </c>
      <c r="I473" s="45">
        <v>1009</v>
      </c>
      <c r="J473" s="5"/>
      <c r="K473" s="5"/>
      <c r="L473" s="5"/>
      <c r="M473" s="5"/>
    </row>
    <row r="474" spans="2:13" x14ac:dyDescent="0.3">
      <c r="B474" t="s">
        <v>124</v>
      </c>
      <c r="C474" s="3" t="s">
        <v>208</v>
      </c>
      <c r="D474" s="132" t="str">
        <f>VLOOKUP(C474,Mapping!$AB$2:$AC$8,2,FALSE)</f>
        <v>Age 4 - 5</v>
      </c>
      <c r="E474" s="132" t="str">
        <f t="shared" si="17"/>
        <v>Strathbogie (S)Age 4 - 5</v>
      </c>
      <c r="F474" s="132" t="str">
        <f>INDEX(Mapping!$Y:$Y,MATCH($B474,Mapping!$W:$W,0))</f>
        <v>Rural</v>
      </c>
      <c r="G474" s="45">
        <v>90</v>
      </c>
      <c r="H474" s="45">
        <v>86</v>
      </c>
      <c r="I474" s="45">
        <v>96</v>
      </c>
      <c r="J474" s="5"/>
      <c r="K474" s="5"/>
      <c r="L474" s="5"/>
      <c r="M474" s="5"/>
    </row>
    <row r="475" spans="2:13" x14ac:dyDescent="0.3">
      <c r="B475" t="s">
        <v>185</v>
      </c>
      <c r="C475" s="3" t="s">
        <v>208</v>
      </c>
      <c r="D475" s="132" t="str">
        <f>VLOOKUP(C475,Mapping!$AB$2:$AC$8,2,FALSE)</f>
        <v>Age 4 - 5</v>
      </c>
      <c r="E475" s="132" t="str">
        <f t="shared" si="17"/>
        <v>Surf Coast (S)Age 4 - 5</v>
      </c>
      <c r="F475" s="132" t="str">
        <f>INDEX(Mapping!$Y:$Y,MATCH($B475,Mapping!$W:$W,0))</f>
        <v>Rural</v>
      </c>
      <c r="G475" s="45">
        <v>385</v>
      </c>
      <c r="H475" s="45">
        <v>357</v>
      </c>
      <c r="I475" s="45">
        <v>358</v>
      </c>
      <c r="J475" s="5"/>
      <c r="K475" s="5"/>
      <c r="L475" s="5"/>
      <c r="M475" s="5"/>
    </row>
    <row r="476" spans="2:13" x14ac:dyDescent="0.3">
      <c r="B476" t="s">
        <v>144</v>
      </c>
      <c r="C476" s="3" t="s">
        <v>208</v>
      </c>
      <c r="D476" s="132" t="str">
        <f>VLOOKUP(C476,Mapping!$AB$2:$AC$8,2,FALSE)</f>
        <v>Age 4 - 5</v>
      </c>
      <c r="E476" s="132" t="str">
        <f t="shared" si="17"/>
        <v>Swan Hill (RC)Age 4 - 5</v>
      </c>
      <c r="F476" s="132" t="str">
        <f>INDEX(Mapping!$Y:$Y,MATCH($B476,Mapping!$W:$W,0))</f>
        <v>Rural</v>
      </c>
      <c r="G476" s="45">
        <v>350</v>
      </c>
      <c r="H476" s="45">
        <v>338</v>
      </c>
      <c r="I476" s="45">
        <v>344</v>
      </c>
      <c r="J476" s="5"/>
      <c r="K476" s="5"/>
      <c r="L476" s="5"/>
      <c r="M476" s="5"/>
    </row>
    <row r="477" spans="2:13" x14ac:dyDescent="0.3">
      <c r="B477" t="s">
        <v>125</v>
      </c>
      <c r="C477" s="3" t="s">
        <v>208</v>
      </c>
      <c r="D477" s="132" t="str">
        <f>VLOOKUP(C477,Mapping!$AB$2:$AC$8,2,FALSE)</f>
        <v>Age 4 - 5</v>
      </c>
      <c r="E477" s="132" t="str">
        <f t="shared" si="17"/>
        <v>Towong (S)Age 4 - 5</v>
      </c>
      <c r="F477" s="132" t="str">
        <f>INDEX(Mapping!$Y:$Y,MATCH($B477,Mapping!$W:$W,0))</f>
        <v>Rural</v>
      </c>
      <c r="G477" s="45">
        <v>69</v>
      </c>
      <c r="H477" s="45">
        <v>65</v>
      </c>
      <c r="I477" s="45">
        <v>61</v>
      </c>
      <c r="J477" s="5"/>
      <c r="K477" s="5"/>
      <c r="L477" s="5"/>
      <c r="M477" s="5"/>
    </row>
    <row r="478" spans="2:13" x14ac:dyDescent="0.3">
      <c r="B478" t="s">
        <v>126</v>
      </c>
      <c r="C478" s="3" t="s">
        <v>208</v>
      </c>
      <c r="D478" s="132" t="str">
        <f>VLOOKUP(C478,Mapping!$AB$2:$AC$8,2,FALSE)</f>
        <v>Age 4 - 5</v>
      </c>
      <c r="E478" s="132" t="str">
        <f t="shared" si="17"/>
        <v>Wangaratta (RC)Age 4 - 5</v>
      </c>
      <c r="F478" s="132" t="str">
        <f>INDEX(Mapping!$Y:$Y,MATCH($B478,Mapping!$W:$W,0))</f>
        <v>Rural</v>
      </c>
      <c r="G478" s="45">
        <v>337</v>
      </c>
      <c r="H478" s="45">
        <v>327</v>
      </c>
      <c r="I478" s="45">
        <v>321</v>
      </c>
      <c r="J478" s="5"/>
      <c r="K478" s="5"/>
      <c r="L478" s="5"/>
      <c r="M478" s="5"/>
    </row>
    <row r="479" spans="2:13" x14ac:dyDescent="0.3">
      <c r="B479" t="s">
        <v>186</v>
      </c>
      <c r="C479" s="3" t="s">
        <v>208</v>
      </c>
      <c r="D479" s="132" t="str">
        <f>VLOOKUP(C479,Mapping!$AB$2:$AC$8,2,FALSE)</f>
        <v>Age 4 - 5</v>
      </c>
      <c r="E479" s="132" t="str">
        <f t="shared" si="17"/>
        <v>Warrnambool (C)Age 4 - 5</v>
      </c>
      <c r="F479" s="132" t="str">
        <f>INDEX(Mapping!$Y:$Y,MATCH($B479,Mapping!$W:$W,0))</f>
        <v>Rural</v>
      </c>
      <c r="G479" s="45">
        <v>437</v>
      </c>
      <c r="H479" s="45">
        <v>417</v>
      </c>
      <c r="I479" s="45">
        <v>449</v>
      </c>
      <c r="J479" s="5"/>
      <c r="K479" s="5"/>
      <c r="L479" s="5"/>
      <c r="M479" s="5"/>
    </row>
    <row r="480" spans="2:13" x14ac:dyDescent="0.3">
      <c r="B480" t="s">
        <v>162</v>
      </c>
      <c r="C480" s="3" t="s">
        <v>208</v>
      </c>
      <c r="D480" s="132" t="str">
        <f>VLOOKUP(C480,Mapping!$AB$2:$AC$8,2,FALSE)</f>
        <v>Age 4 - 5</v>
      </c>
      <c r="E480" s="132" t="str">
        <f t="shared" si="17"/>
        <v>Wellington (S)Age 4 - 5</v>
      </c>
      <c r="F480" s="132" t="str">
        <f>INDEX(Mapping!$Y:$Y,MATCH($B480,Mapping!$W:$W,0))</f>
        <v>Rural</v>
      </c>
      <c r="G480" s="45">
        <v>630</v>
      </c>
      <c r="H480" s="45">
        <v>538</v>
      </c>
      <c r="I480" s="45">
        <v>514</v>
      </c>
      <c r="J480" s="5"/>
      <c r="K480" s="5"/>
      <c r="L480" s="5"/>
      <c r="M480" s="5"/>
    </row>
    <row r="481" spans="2:13" x14ac:dyDescent="0.3">
      <c r="B481" t="s">
        <v>187</v>
      </c>
      <c r="C481" s="3" t="s">
        <v>208</v>
      </c>
      <c r="D481" s="132" t="str">
        <f>VLOOKUP(C481,Mapping!$AB$2:$AC$8,2,FALSE)</f>
        <v>Age 4 - 5</v>
      </c>
      <c r="E481" s="132" t="str">
        <f t="shared" si="17"/>
        <v>West Wimmera (S)Age 4 - 5</v>
      </c>
      <c r="F481" s="132" t="str">
        <f>INDEX(Mapping!$Y:$Y,MATCH($B481,Mapping!$W:$W,0))</f>
        <v>Rural</v>
      </c>
      <c r="G481" s="45">
        <v>24</v>
      </c>
      <c r="H481" s="45">
        <v>34</v>
      </c>
      <c r="I481" s="45">
        <v>27</v>
      </c>
      <c r="J481" s="5"/>
      <c r="K481" s="5"/>
      <c r="L481" s="5"/>
      <c r="M481" s="5"/>
    </row>
    <row r="482" spans="2:13" x14ac:dyDescent="0.3">
      <c r="B482" t="s">
        <v>127</v>
      </c>
      <c r="C482" s="3" t="s">
        <v>208</v>
      </c>
      <c r="D482" s="132" t="str">
        <f>VLOOKUP(C482,Mapping!$AB$2:$AC$8,2,FALSE)</f>
        <v>Age 4 - 5</v>
      </c>
      <c r="E482" s="132" t="str">
        <f t="shared" si="17"/>
        <v>Whitehorse (C)Age 4 - 5</v>
      </c>
      <c r="F482" s="132" t="str">
        <f>INDEX(Mapping!$Y:$Y,MATCH($B482,Mapping!$W:$W,0))</f>
        <v>Metro</v>
      </c>
      <c r="G482" s="45">
        <v>1973</v>
      </c>
      <c r="H482" s="45">
        <v>3774</v>
      </c>
      <c r="I482" s="45">
        <v>1300</v>
      </c>
      <c r="J482" s="5"/>
      <c r="K482" s="5"/>
      <c r="L482" s="5"/>
      <c r="M482" s="5"/>
    </row>
    <row r="483" spans="2:13" x14ac:dyDescent="0.3">
      <c r="B483" t="s">
        <v>145</v>
      </c>
      <c r="C483" s="3" t="s">
        <v>208</v>
      </c>
      <c r="D483" s="132" t="str">
        <f>VLOOKUP(C483,Mapping!$AB$2:$AC$8,2,FALSE)</f>
        <v>Age 4 - 5</v>
      </c>
      <c r="E483" s="132" t="str">
        <f t="shared" si="17"/>
        <v>Whittlesea (C)Age 4 - 5</v>
      </c>
      <c r="F483" s="132" t="str">
        <f>INDEX(Mapping!$Y:$Y,MATCH($B483,Mapping!$W:$W,0))</f>
        <v>Interface</v>
      </c>
      <c r="G483" s="45">
        <v>3126</v>
      </c>
      <c r="H483" s="45">
        <v>3481</v>
      </c>
      <c r="I483" s="45">
        <v>3698</v>
      </c>
      <c r="J483" s="5"/>
      <c r="K483" s="5"/>
      <c r="L483" s="5"/>
      <c r="M483" s="5"/>
    </row>
    <row r="484" spans="2:13" x14ac:dyDescent="0.3">
      <c r="B484" t="s">
        <v>128</v>
      </c>
      <c r="C484" s="3" t="s">
        <v>208</v>
      </c>
      <c r="D484" s="132" t="str">
        <f>VLOOKUP(C484,Mapping!$AB$2:$AC$8,2,FALSE)</f>
        <v>Age 4 - 5</v>
      </c>
      <c r="E484" s="132" t="str">
        <f t="shared" si="17"/>
        <v>Wodonga (RC)Age 4 - 5</v>
      </c>
      <c r="F484" s="132" t="str">
        <f>INDEX(Mapping!$Y:$Y,MATCH($B484,Mapping!$W:$W,0))</f>
        <v>Rural</v>
      </c>
      <c r="G484" s="45">
        <v>607</v>
      </c>
      <c r="H484" s="45">
        <v>628</v>
      </c>
      <c r="I484" s="45">
        <v>684</v>
      </c>
      <c r="J484" s="5"/>
      <c r="K484" s="5"/>
      <c r="L484" s="5"/>
      <c r="M484" s="5"/>
    </row>
    <row r="485" spans="2:13" x14ac:dyDescent="0.3">
      <c r="B485" t="s">
        <v>188</v>
      </c>
      <c r="C485" s="3" t="s">
        <v>208</v>
      </c>
      <c r="D485" s="132" t="str">
        <f>VLOOKUP(C485,Mapping!$AB$2:$AC$8,2,FALSE)</f>
        <v>Age 4 - 5</v>
      </c>
      <c r="E485" s="132" t="str">
        <f t="shared" si="17"/>
        <v>Wyndham (C)Age 4 - 5</v>
      </c>
      <c r="F485" s="132" t="str">
        <f>INDEX(Mapping!$Y:$Y,MATCH($B485,Mapping!$W:$W,0))</f>
        <v>Interface</v>
      </c>
      <c r="G485" s="45">
        <v>4426</v>
      </c>
      <c r="H485" s="45">
        <v>4752</v>
      </c>
      <c r="I485" s="45">
        <v>5024</v>
      </c>
      <c r="J485" s="5"/>
      <c r="K485" s="5"/>
      <c r="L485" s="5"/>
      <c r="M485" s="5"/>
    </row>
    <row r="486" spans="2:13" x14ac:dyDescent="0.3">
      <c r="B486" t="s">
        <v>146</v>
      </c>
      <c r="C486" s="3" t="s">
        <v>208</v>
      </c>
      <c r="D486" s="132" t="str">
        <f>VLOOKUP(C486,Mapping!$AB$2:$AC$8,2,FALSE)</f>
        <v>Age 4 - 5</v>
      </c>
      <c r="E486" s="132" t="str">
        <f t="shared" si="17"/>
        <v>Yarra (C)Age 4 - 5</v>
      </c>
      <c r="F486" s="132" t="str">
        <f>INDEX(Mapping!$Y:$Y,MATCH($B486,Mapping!$W:$W,0))</f>
        <v>Metro</v>
      </c>
      <c r="G486" s="45">
        <v>808</v>
      </c>
      <c r="H486" s="45">
        <v>785</v>
      </c>
      <c r="I486" s="45">
        <v>853</v>
      </c>
      <c r="J486" s="5"/>
      <c r="K486" s="5"/>
      <c r="L486" s="5"/>
      <c r="M486" s="5"/>
    </row>
    <row r="487" spans="2:13" x14ac:dyDescent="0.3">
      <c r="B487" t="s">
        <v>129</v>
      </c>
      <c r="C487" s="3" t="s">
        <v>208</v>
      </c>
      <c r="D487" s="132" t="str">
        <f>VLOOKUP(C487,Mapping!$AB$2:$AC$8,2,FALSE)</f>
        <v>Age 4 - 5</v>
      </c>
      <c r="E487" s="132" t="str">
        <f t="shared" si="17"/>
        <v>Yarra Ranges (S)Age 4 - 5</v>
      </c>
      <c r="F487" s="132" t="str">
        <f>INDEX(Mapping!$Y:$Y,MATCH($B487,Mapping!$W:$W,0))</f>
        <v>Interface</v>
      </c>
      <c r="G487" s="45">
        <v>1962</v>
      </c>
      <c r="H487" s="45">
        <v>1903</v>
      </c>
      <c r="I487" s="45">
        <v>1958</v>
      </c>
      <c r="J487" s="5"/>
      <c r="K487" s="5"/>
      <c r="L487" s="5"/>
      <c r="M487" s="5"/>
    </row>
    <row r="488" spans="2:13" x14ac:dyDescent="0.3">
      <c r="B488" t="s">
        <v>189</v>
      </c>
      <c r="C488" s="3" t="s">
        <v>208</v>
      </c>
      <c r="D488" s="132" t="str">
        <f>VLOOKUP(C488,Mapping!$AB$2:$AC$8,2,FALSE)</f>
        <v>Age 4 - 5</v>
      </c>
      <c r="E488" s="132" t="str">
        <f t="shared" si="17"/>
        <v>Yarriambiack (S)Age 4 - 5</v>
      </c>
      <c r="F488" s="132" t="str">
        <f>INDEX(Mapping!$Y:$Y,MATCH($B488,Mapping!$W:$W,0))</f>
        <v>Rural</v>
      </c>
      <c r="G488" s="45">
        <v>76</v>
      </c>
      <c r="H488" s="45">
        <v>71</v>
      </c>
      <c r="I488" s="45">
        <v>60</v>
      </c>
      <c r="J488" s="5"/>
      <c r="K488" s="5"/>
      <c r="L488" s="5"/>
      <c r="M488" s="5"/>
    </row>
    <row r="489" spans="2:13" x14ac:dyDescent="0.3">
      <c r="B489" t="s">
        <v>111</v>
      </c>
      <c r="C489" s="3" t="s">
        <v>209</v>
      </c>
      <c r="D489" s="132" t="str">
        <f>VLOOKUP(C489,Mapping!$AB$2:$AC$8,2,FALSE)</f>
        <v>Age 5 - 6</v>
      </c>
      <c r="E489" s="132" t="str">
        <f t="shared" si="17"/>
        <v>Alpine (S)Age 5 - 6</v>
      </c>
      <c r="F489" s="132" t="str">
        <f>INDEX(Mapping!$Y:$Y,MATCH($B489,Mapping!$W:$W,0))</f>
        <v>Rural</v>
      </c>
      <c r="G489" s="45">
        <v>138</v>
      </c>
      <c r="H489" s="45">
        <v>136</v>
      </c>
      <c r="I489" s="45">
        <v>110</v>
      </c>
      <c r="J489" s="5"/>
      <c r="K489" s="5"/>
      <c r="L489" s="5"/>
      <c r="M489" s="5"/>
    </row>
    <row r="490" spans="2:13" x14ac:dyDescent="0.3">
      <c r="B490" t="s">
        <v>163</v>
      </c>
      <c r="C490" s="3" t="s">
        <v>209</v>
      </c>
      <c r="D490" s="132" t="str">
        <f>VLOOKUP(C490,Mapping!$AB$2:$AC$8,2,FALSE)</f>
        <v>Age 5 - 6</v>
      </c>
      <c r="E490" s="132" t="str">
        <f t="shared" si="17"/>
        <v>Ararat (RC)Age 5 - 6</v>
      </c>
      <c r="F490" s="132" t="str">
        <f>INDEX(Mapping!$Y:$Y,MATCH($B490,Mapping!$W:$W,0))</f>
        <v>Rural</v>
      </c>
      <c r="G490" s="45">
        <v>160</v>
      </c>
      <c r="H490" s="45">
        <v>111</v>
      </c>
      <c r="I490" s="45">
        <v>105</v>
      </c>
      <c r="J490" s="5"/>
      <c r="K490" s="5"/>
      <c r="L490" s="5"/>
      <c r="M490" s="5"/>
    </row>
    <row r="491" spans="2:13" x14ac:dyDescent="0.3">
      <c r="B491" t="s">
        <v>164</v>
      </c>
      <c r="C491" s="3" t="s">
        <v>209</v>
      </c>
      <c r="D491" s="132" t="str">
        <f>VLOOKUP(C491,Mapping!$AB$2:$AC$8,2,FALSE)</f>
        <v>Age 5 - 6</v>
      </c>
      <c r="E491" s="132" t="str">
        <f t="shared" si="17"/>
        <v>Ballarat (C)Age 5 - 6</v>
      </c>
      <c r="F491" s="132" t="str">
        <f>INDEX(Mapping!$Y:$Y,MATCH($B491,Mapping!$W:$W,0))</f>
        <v>Rural</v>
      </c>
      <c r="G491" s="45">
        <v>1397</v>
      </c>
      <c r="H491" s="45">
        <v>1423</v>
      </c>
      <c r="I491" s="45">
        <v>1396</v>
      </c>
      <c r="J491" s="5"/>
      <c r="K491" s="5"/>
      <c r="L491" s="5"/>
      <c r="M491" s="5"/>
    </row>
    <row r="492" spans="2:13" x14ac:dyDescent="0.3">
      <c r="B492" t="s">
        <v>130</v>
      </c>
      <c r="C492" s="3" t="s">
        <v>209</v>
      </c>
      <c r="D492" s="132" t="str">
        <f>VLOOKUP(C492,Mapping!$AB$2:$AC$8,2,FALSE)</f>
        <v>Age 5 - 6</v>
      </c>
      <c r="E492" s="132" t="str">
        <f t="shared" si="17"/>
        <v>Banyule (C)Age 5 - 6</v>
      </c>
      <c r="F492" s="132" t="str">
        <f>INDEX(Mapping!$Y:$Y,MATCH($B492,Mapping!$W:$W,0))</f>
        <v>Metro</v>
      </c>
      <c r="G492" s="45">
        <v>1974</v>
      </c>
      <c r="H492" s="45">
        <v>1600</v>
      </c>
      <c r="I492" s="45">
        <v>1579</v>
      </c>
      <c r="J492" s="5"/>
      <c r="K492" s="5"/>
      <c r="L492" s="5"/>
      <c r="M492" s="5"/>
    </row>
    <row r="493" spans="2:13" x14ac:dyDescent="0.3">
      <c r="B493" t="s">
        <v>147</v>
      </c>
      <c r="C493" s="3" t="s">
        <v>209</v>
      </c>
      <c r="D493" s="132" t="str">
        <f>VLOOKUP(C493,Mapping!$AB$2:$AC$8,2,FALSE)</f>
        <v>Age 5 - 6</v>
      </c>
      <c r="E493" s="132" t="str">
        <f t="shared" si="17"/>
        <v>Bass Coast (S)Age 5 - 6</v>
      </c>
      <c r="F493" s="132" t="str">
        <f>INDEX(Mapping!$Y:$Y,MATCH($B493,Mapping!$W:$W,0))</f>
        <v>Rural</v>
      </c>
      <c r="G493" s="45">
        <v>493</v>
      </c>
      <c r="H493" s="45">
        <v>332</v>
      </c>
      <c r="I493" s="45">
        <v>232</v>
      </c>
      <c r="J493" s="5"/>
      <c r="K493" s="5"/>
      <c r="L493" s="5"/>
      <c r="M493" s="5"/>
    </row>
    <row r="494" spans="2:13" x14ac:dyDescent="0.3">
      <c r="B494" t="s">
        <v>148</v>
      </c>
      <c r="C494" s="3" t="s">
        <v>209</v>
      </c>
      <c r="D494" s="132" t="str">
        <f>VLOOKUP(C494,Mapping!$AB$2:$AC$8,2,FALSE)</f>
        <v>Age 5 - 6</v>
      </c>
      <c r="E494" s="132" t="str">
        <f t="shared" si="17"/>
        <v>Baw Baw (S)Age 5 - 6</v>
      </c>
      <c r="F494" s="132" t="str">
        <f>INDEX(Mapping!$Y:$Y,MATCH($B494,Mapping!$W:$W,0))</f>
        <v>Rural</v>
      </c>
      <c r="G494" s="45">
        <v>648</v>
      </c>
      <c r="H494" s="45">
        <v>600</v>
      </c>
      <c r="I494" s="45">
        <v>635</v>
      </c>
      <c r="J494" s="5"/>
      <c r="K494" s="5"/>
      <c r="L494" s="5"/>
      <c r="M494" s="5"/>
    </row>
    <row r="495" spans="2:13" x14ac:dyDescent="0.3">
      <c r="B495" t="s">
        <v>149</v>
      </c>
      <c r="C495" s="3" t="s">
        <v>209</v>
      </c>
      <c r="D495" s="132" t="str">
        <f>VLOOKUP(C495,Mapping!$AB$2:$AC$8,2,FALSE)</f>
        <v>Age 5 - 6</v>
      </c>
      <c r="E495" s="132" t="str">
        <f t="shared" si="17"/>
        <v>Bayside (C)Age 5 - 6</v>
      </c>
      <c r="F495" s="132" t="str">
        <f>INDEX(Mapping!$Y:$Y,MATCH($B495,Mapping!$W:$W,0))</f>
        <v>Metro</v>
      </c>
      <c r="G495" s="45">
        <v>1156</v>
      </c>
      <c r="H495" s="45">
        <v>1071</v>
      </c>
      <c r="I495" s="45">
        <v>1121</v>
      </c>
      <c r="J495" s="5"/>
      <c r="K495" s="5"/>
      <c r="L495" s="5"/>
      <c r="M495" s="5"/>
    </row>
    <row r="496" spans="2:13" x14ac:dyDescent="0.3">
      <c r="B496" t="s">
        <v>112</v>
      </c>
      <c r="C496" s="3" t="s">
        <v>209</v>
      </c>
      <c r="D496" s="132" t="str">
        <f>VLOOKUP(C496,Mapping!$AB$2:$AC$8,2,FALSE)</f>
        <v>Age 5 - 6</v>
      </c>
      <c r="E496" s="132" t="str">
        <f t="shared" si="17"/>
        <v>Benalla (RC)Age 5 - 6</v>
      </c>
      <c r="F496" s="132" t="str">
        <f>INDEX(Mapping!$Y:$Y,MATCH($B496,Mapping!$W:$W,0))</f>
        <v>Rural</v>
      </c>
      <c r="G496" s="45">
        <v>163</v>
      </c>
      <c r="H496" s="45">
        <v>141</v>
      </c>
      <c r="I496" s="45">
        <v>159</v>
      </c>
      <c r="J496" s="5"/>
      <c r="K496" s="5"/>
      <c r="L496" s="5"/>
      <c r="M496" s="5"/>
    </row>
    <row r="497" spans="2:13" x14ac:dyDescent="0.3">
      <c r="B497" t="s">
        <v>113</v>
      </c>
      <c r="C497" s="3" t="s">
        <v>209</v>
      </c>
      <c r="D497" s="132" t="str">
        <f>VLOOKUP(C497,Mapping!$AB$2:$AC$8,2,FALSE)</f>
        <v>Age 5 - 6</v>
      </c>
      <c r="E497" s="132" t="str">
        <f t="shared" si="17"/>
        <v>Boroondara (C)Age 5 - 6</v>
      </c>
      <c r="F497" s="132" t="str">
        <f>INDEX(Mapping!$Y:$Y,MATCH($B497,Mapping!$W:$W,0))</f>
        <v>Metro</v>
      </c>
      <c r="G497" s="45">
        <v>1780</v>
      </c>
      <c r="H497" s="45">
        <v>1680</v>
      </c>
      <c r="I497" s="45">
        <v>1803</v>
      </c>
      <c r="J497" s="5"/>
      <c r="K497" s="5"/>
      <c r="L497" s="5"/>
      <c r="M497" s="5"/>
    </row>
    <row r="498" spans="2:13" x14ac:dyDescent="0.3">
      <c r="B498" t="s">
        <v>165</v>
      </c>
      <c r="C498" s="3" t="s">
        <v>209</v>
      </c>
      <c r="D498" s="132" t="str">
        <f>VLOOKUP(C498,Mapping!$AB$2:$AC$8,2,FALSE)</f>
        <v>Age 5 - 6</v>
      </c>
      <c r="E498" s="132" t="str">
        <f t="shared" si="17"/>
        <v>Brimbank (C)Age 5 - 6</v>
      </c>
      <c r="F498" s="132" t="str">
        <f>INDEX(Mapping!$Y:$Y,MATCH($B498,Mapping!$W:$W,0))</f>
        <v>Metro</v>
      </c>
      <c r="G498" s="45">
        <v>2684</v>
      </c>
      <c r="H498" s="45">
        <v>2970</v>
      </c>
      <c r="I498" s="45">
        <v>3254</v>
      </c>
      <c r="J498" s="5"/>
      <c r="K498" s="5"/>
      <c r="L498" s="5"/>
      <c r="M498" s="5"/>
    </row>
    <row r="499" spans="2:13" x14ac:dyDescent="0.3">
      <c r="B499" t="s">
        <v>131</v>
      </c>
      <c r="C499" s="3" t="s">
        <v>209</v>
      </c>
      <c r="D499" s="132" t="str">
        <f>VLOOKUP(C499,Mapping!$AB$2:$AC$8,2,FALSE)</f>
        <v>Age 5 - 6</v>
      </c>
      <c r="E499" s="132" t="str">
        <f t="shared" si="17"/>
        <v>Buloke (S)Age 5 - 6</v>
      </c>
      <c r="F499" s="132" t="str">
        <f>INDEX(Mapping!$Y:$Y,MATCH($B499,Mapping!$W:$W,0))</f>
        <v>Rural</v>
      </c>
      <c r="G499" s="45">
        <v>55</v>
      </c>
      <c r="H499" s="45">
        <v>57</v>
      </c>
      <c r="I499" s="45">
        <v>66</v>
      </c>
      <c r="J499" s="5"/>
      <c r="K499" s="5"/>
      <c r="L499" s="5"/>
      <c r="M499" s="5"/>
    </row>
    <row r="500" spans="2:13" x14ac:dyDescent="0.3">
      <c r="B500" t="s">
        <v>132</v>
      </c>
      <c r="C500" s="3" t="s">
        <v>209</v>
      </c>
      <c r="D500" s="132" t="str">
        <f>VLOOKUP(C500,Mapping!$AB$2:$AC$8,2,FALSE)</f>
        <v>Age 5 - 6</v>
      </c>
      <c r="E500" s="132" t="str">
        <f t="shared" si="17"/>
        <v>Campaspe (S)Age 5 - 6</v>
      </c>
      <c r="F500" s="132" t="str">
        <f>INDEX(Mapping!$Y:$Y,MATCH($B500,Mapping!$W:$W,0))</f>
        <v>Rural</v>
      </c>
      <c r="G500" s="45">
        <v>468</v>
      </c>
      <c r="H500" s="45">
        <v>477</v>
      </c>
      <c r="I500" s="45">
        <v>510</v>
      </c>
      <c r="J500" s="5"/>
      <c r="K500" s="5"/>
      <c r="L500" s="5"/>
      <c r="M500" s="5"/>
    </row>
    <row r="501" spans="2:13" x14ac:dyDescent="0.3">
      <c r="B501" t="s">
        <v>150</v>
      </c>
      <c r="C501" s="3" t="s">
        <v>209</v>
      </c>
      <c r="D501" s="132" t="str">
        <f>VLOOKUP(C501,Mapping!$AB$2:$AC$8,2,FALSE)</f>
        <v>Age 5 - 6</v>
      </c>
      <c r="E501" s="132" t="str">
        <f t="shared" si="17"/>
        <v>Cardinia (S)Age 5 - 6</v>
      </c>
      <c r="F501" s="132" t="str">
        <f>INDEX(Mapping!$Y:$Y,MATCH($B501,Mapping!$W:$W,0))</f>
        <v>Interface</v>
      </c>
      <c r="G501" s="45">
        <v>1727</v>
      </c>
      <c r="H501" s="45">
        <v>1636</v>
      </c>
      <c r="I501" s="45">
        <v>1600</v>
      </c>
      <c r="J501" s="5"/>
      <c r="K501" s="5"/>
      <c r="L501" s="5"/>
      <c r="M501" s="5"/>
    </row>
    <row r="502" spans="2:13" x14ac:dyDescent="0.3">
      <c r="B502" t="s">
        <v>151</v>
      </c>
      <c r="C502" s="3" t="s">
        <v>209</v>
      </c>
      <c r="D502" s="132" t="str">
        <f>VLOOKUP(C502,Mapping!$AB$2:$AC$8,2,FALSE)</f>
        <v>Age 5 - 6</v>
      </c>
      <c r="E502" s="132" t="str">
        <f t="shared" si="17"/>
        <v>Casey (C)Age 5 - 6</v>
      </c>
      <c r="F502" s="132" t="str">
        <f>INDEX(Mapping!$Y:$Y,MATCH($B502,Mapping!$W:$W,0))</f>
        <v>Interface</v>
      </c>
      <c r="G502" s="45">
        <v>4291</v>
      </c>
      <c r="H502" s="45">
        <v>4714</v>
      </c>
      <c r="I502" s="45">
        <v>4847</v>
      </c>
      <c r="J502" s="5"/>
      <c r="K502" s="5"/>
      <c r="L502" s="5"/>
      <c r="M502" s="5"/>
    </row>
    <row r="503" spans="2:13" x14ac:dyDescent="0.3">
      <c r="B503" t="s">
        <v>133</v>
      </c>
      <c r="C503" s="3" t="s">
        <v>209</v>
      </c>
      <c r="D503" s="132" t="str">
        <f>VLOOKUP(C503,Mapping!$AB$2:$AC$8,2,FALSE)</f>
        <v>Age 5 - 6</v>
      </c>
      <c r="E503" s="132" t="str">
        <f t="shared" si="17"/>
        <v>Central Goldfields (S)Age 5 - 6</v>
      </c>
      <c r="F503" s="132" t="str">
        <f>INDEX(Mapping!$Y:$Y,MATCH($B503,Mapping!$W:$W,0))</f>
        <v>Rural</v>
      </c>
      <c r="G503" s="45">
        <v>186</v>
      </c>
      <c r="H503" s="45">
        <v>169</v>
      </c>
      <c r="I503" s="45">
        <v>151</v>
      </c>
      <c r="J503" s="5"/>
      <c r="K503" s="5"/>
      <c r="L503" s="5"/>
      <c r="M503" s="5"/>
    </row>
    <row r="504" spans="2:13" x14ac:dyDescent="0.3">
      <c r="B504" t="s">
        <v>166</v>
      </c>
      <c r="C504" s="3" t="s">
        <v>209</v>
      </c>
      <c r="D504" s="132" t="str">
        <f>VLOOKUP(C504,Mapping!$AB$2:$AC$8,2,FALSE)</f>
        <v>Age 5 - 6</v>
      </c>
      <c r="E504" s="132" t="str">
        <f t="shared" si="17"/>
        <v>Colac-Otway (S)Age 5 - 6</v>
      </c>
      <c r="F504" s="132" t="str">
        <f>INDEX(Mapping!$Y:$Y,MATCH($B504,Mapping!$W:$W,0))</f>
        <v>Rural</v>
      </c>
      <c r="G504" s="45">
        <v>270</v>
      </c>
      <c r="H504" s="45">
        <v>281</v>
      </c>
      <c r="I504" s="45">
        <v>255</v>
      </c>
      <c r="J504" s="5"/>
      <c r="K504" s="5"/>
      <c r="L504" s="5"/>
      <c r="M504" s="5"/>
    </row>
    <row r="505" spans="2:13" x14ac:dyDescent="0.3">
      <c r="B505" t="s">
        <v>167</v>
      </c>
      <c r="C505" s="3" t="s">
        <v>209</v>
      </c>
      <c r="D505" s="132" t="str">
        <f>VLOOKUP(C505,Mapping!$AB$2:$AC$8,2,FALSE)</f>
        <v>Age 5 - 6</v>
      </c>
      <c r="E505" s="132" t="str">
        <f t="shared" si="17"/>
        <v>Corangamite (S)Age 5 - 6</v>
      </c>
      <c r="F505" s="132" t="str">
        <f>INDEX(Mapping!$Y:$Y,MATCH($B505,Mapping!$W:$W,0))</f>
        <v>Rural</v>
      </c>
      <c r="G505" s="45">
        <v>237</v>
      </c>
      <c r="H505" s="45">
        <v>195</v>
      </c>
      <c r="I505" s="45">
        <v>181</v>
      </c>
      <c r="J505" s="5"/>
      <c r="K505" s="5"/>
      <c r="L505" s="5"/>
      <c r="M505" s="5"/>
    </row>
    <row r="506" spans="2:13" x14ac:dyDescent="0.3">
      <c r="B506" t="s">
        <v>134</v>
      </c>
      <c r="C506" s="3" t="s">
        <v>209</v>
      </c>
      <c r="D506" s="132" t="str">
        <f>VLOOKUP(C506,Mapping!$AB$2:$AC$8,2,FALSE)</f>
        <v>Age 5 - 6</v>
      </c>
      <c r="E506" s="132" t="str">
        <f t="shared" si="17"/>
        <v>Darebin (C)Age 5 - 6</v>
      </c>
      <c r="F506" s="132" t="str">
        <f>INDEX(Mapping!$Y:$Y,MATCH($B506,Mapping!$W:$W,0))</f>
        <v>Metro</v>
      </c>
      <c r="G506" s="45">
        <v>1751</v>
      </c>
      <c r="H506" s="45">
        <v>1296</v>
      </c>
      <c r="I506" s="45">
        <v>1212</v>
      </c>
      <c r="J506" s="5"/>
      <c r="K506" s="5"/>
      <c r="L506" s="5"/>
      <c r="M506" s="5"/>
    </row>
    <row r="507" spans="2:13" x14ac:dyDescent="0.3">
      <c r="B507" t="s">
        <v>152</v>
      </c>
      <c r="C507" s="3" t="s">
        <v>209</v>
      </c>
      <c r="D507" s="132" t="str">
        <f>VLOOKUP(C507,Mapping!$AB$2:$AC$8,2,FALSE)</f>
        <v>Age 5 - 6</v>
      </c>
      <c r="E507" s="132" t="str">
        <f t="shared" si="17"/>
        <v>East Gippsland (S)Age 5 - 6</v>
      </c>
      <c r="F507" s="132" t="str">
        <f>INDEX(Mapping!$Y:$Y,MATCH($B507,Mapping!$W:$W,0))</f>
        <v>Rural</v>
      </c>
      <c r="G507" s="45">
        <v>513</v>
      </c>
      <c r="H507" s="45">
        <v>483</v>
      </c>
      <c r="I507" s="45">
        <v>459</v>
      </c>
      <c r="J507" s="5"/>
      <c r="K507" s="5"/>
      <c r="L507" s="5"/>
      <c r="M507" s="5"/>
    </row>
    <row r="508" spans="2:13" x14ac:dyDescent="0.3">
      <c r="B508" t="s">
        <v>153</v>
      </c>
      <c r="C508" s="3" t="s">
        <v>209</v>
      </c>
      <c r="D508" s="132" t="str">
        <f>VLOOKUP(C508,Mapping!$AB$2:$AC$8,2,FALSE)</f>
        <v>Age 5 - 6</v>
      </c>
      <c r="E508" s="132" t="str">
        <f t="shared" si="17"/>
        <v>Frankston (C)Age 5 - 6</v>
      </c>
      <c r="F508" s="132" t="str">
        <f>INDEX(Mapping!$Y:$Y,MATCH($B508,Mapping!$W:$W,0))</f>
        <v>Metro</v>
      </c>
      <c r="G508" s="45">
        <v>2261</v>
      </c>
      <c r="H508" s="45">
        <v>2067</v>
      </c>
      <c r="I508" s="45">
        <v>1958</v>
      </c>
      <c r="J508" s="5"/>
      <c r="K508" s="5"/>
      <c r="L508" s="5"/>
      <c r="M508" s="5"/>
    </row>
    <row r="509" spans="2:13" x14ac:dyDescent="0.3">
      <c r="B509" t="s">
        <v>135</v>
      </c>
      <c r="C509" s="3" t="s">
        <v>209</v>
      </c>
      <c r="D509" s="132" t="str">
        <f>VLOOKUP(C509,Mapping!$AB$2:$AC$8,2,FALSE)</f>
        <v>Age 5 - 6</v>
      </c>
      <c r="E509" s="132" t="str">
        <f t="shared" si="17"/>
        <v>Gannawarra (S)Age 5 - 6</v>
      </c>
      <c r="F509" s="132" t="str">
        <f>INDEX(Mapping!$Y:$Y,MATCH($B509,Mapping!$W:$W,0))</f>
        <v>Rural</v>
      </c>
      <c r="G509" s="45">
        <v>133</v>
      </c>
      <c r="H509" s="45">
        <v>129</v>
      </c>
      <c r="I509" s="45">
        <v>135</v>
      </c>
      <c r="J509" s="5"/>
      <c r="K509" s="5"/>
      <c r="L509" s="5"/>
      <c r="M509" s="5"/>
    </row>
    <row r="510" spans="2:13" x14ac:dyDescent="0.3">
      <c r="B510" t="s">
        <v>154</v>
      </c>
      <c r="C510" s="3" t="s">
        <v>209</v>
      </c>
      <c r="D510" s="132" t="str">
        <f>VLOOKUP(C510,Mapping!$AB$2:$AC$8,2,FALSE)</f>
        <v>Age 5 - 6</v>
      </c>
      <c r="E510" s="132" t="str">
        <f t="shared" si="17"/>
        <v>Glen Eira (C)Age 5 - 6</v>
      </c>
      <c r="F510" s="132" t="str">
        <f>INDEX(Mapping!$Y:$Y,MATCH($B510,Mapping!$W:$W,0))</f>
        <v>Metro</v>
      </c>
      <c r="G510" s="45">
        <v>1772</v>
      </c>
      <c r="H510" s="45">
        <v>1796</v>
      </c>
      <c r="I510" s="45">
        <v>1771</v>
      </c>
      <c r="J510" s="5"/>
      <c r="K510" s="5"/>
      <c r="L510" s="5"/>
      <c r="M510" s="5"/>
    </row>
    <row r="511" spans="2:13" x14ac:dyDescent="0.3">
      <c r="B511" t="s">
        <v>168</v>
      </c>
      <c r="C511" s="3" t="s">
        <v>209</v>
      </c>
      <c r="D511" s="132" t="str">
        <f>VLOOKUP(C511,Mapping!$AB$2:$AC$8,2,FALSE)</f>
        <v>Age 5 - 6</v>
      </c>
      <c r="E511" s="132" t="str">
        <f t="shared" si="17"/>
        <v>Glenelg (S)Age 5 - 6</v>
      </c>
      <c r="F511" s="132" t="str">
        <f>INDEX(Mapping!$Y:$Y,MATCH($B511,Mapping!$W:$W,0))</f>
        <v>Rural</v>
      </c>
      <c r="G511" s="45">
        <v>270</v>
      </c>
      <c r="H511" s="45">
        <v>197</v>
      </c>
      <c r="I511" s="45">
        <v>213</v>
      </c>
      <c r="J511" s="5"/>
      <c r="K511" s="5"/>
      <c r="L511" s="5"/>
      <c r="M511" s="5"/>
    </row>
    <row r="512" spans="2:13" x14ac:dyDescent="0.3">
      <c r="B512" t="s">
        <v>169</v>
      </c>
      <c r="C512" s="3" t="s">
        <v>209</v>
      </c>
      <c r="D512" s="132" t="str">
        <f>VLOOKUP(C512,Mapping!$AB$2:$AC$8,2,FALSE)</f>
        <v>Age 5 - 6</v>
      </c>
      <c r="E512" s="132" t="str">
        <f t="shared" si="17"/>
        <v>Golden Plains (S)Age 5 - 6</v>
      </c>
      <c r="F512" s="132" t="str">
        <f>INDEX(Mapping!$Y:$Y,MATCH($B512,Mapping!$W:$W,0))</f>
        <v>Rural</v>
      </c>
      <c r="G512" s="45">
        <v>232</v>
      </c>
      <c r="H512" s="45">
        <v>258</v>
      </c>
      <c r="I512" s="45">
        <v>270</v>
      </c>
      <c r="J512" s="5"/>
      <c r="K512" s="5"/>
      <c r="L512" s="5"/>
      <c r="M512" s="5"/>
    </row>
    <row r="513" spans="2:13" x14ac:dyDescent="0.3">
      <c r="B513" t="s">
        <v>136</v>
      </c>
      <c r="C513" s="3" t="s">
        <v>209</v>
      </c>
      <c r="D513" s="132" t="str">
        <f>VLOOKUP(C513,Mapping!$AB$2:$AC$8,2,FALSE)</f>
        <v>Age 5 - 6</v>
      </c>
      <c r="E513" s="132" t="str">
        <f t="shared" si="17"/>
        <v>Greater Bendigo (C)Age 5 - 6</v>
      </c>
      <c r="F513" s="132" t="str">
        <f>INDEX(Mapping!$Y:$Y,MATCH($B513,Mapping!$W:$W,0))</f>
        <v>Rural</v>
      </c>
      <c r="G513" s="45">
        <v>1530</v>
      </c>
      <c r="H513" s="45">
        <v>1569</v>
      </c>
      <c r="I513" s="45">
        <v>1585</v>
      </c>
      <c r="J513" s="5"/>
      <c r="K513" s="5"/>
      <c r="L513" s="5"/>
      <c r="M513" s="5"/>
    </row>
    <row r="514" spans="2:13" x14ac:dyDescent="0.3">
      <c r="B514" t="s">
        <v>155</v>
      </c>
      <c r="C514" s="3" t="s">
        <v>209</v>
      </c>
      <c r="D514" s="132" t="str">
        <f>VLOOKUP(C514,Mapping!$AB$2:$AC$8,2,FALSE)</f>
        <v>Age 5 - 6</v>
      </c>
      <c r="E514" s="132" t="str">
        <f t="shared" si="17"/>
        <v>Greater Dandenong (C)Age 5 - 6</v>
      </c>
      <c r="F514" s="132" t="str">
        <f>INDEX(Mapping!$Y:$Y,MATCH($B514,Mapping!$W:$W,0))</f>
        <v>Metro</v>
      </c>
      <c r="G514" s="45">
        <v>2892</v>
      </c>
      <c r="H514" s="45">
        <v>1949</v>
      </c>
      <c r="I514" s="45">
        <v>1872</v>
      </c>
      <c r="J514" s="5"/>
      <c r="K514" s="5"/>
      <c r="L514" s="5"/>
      <c r="M514" s="5"/>
    </row>
    <row r="515" spans="2:13" x14ac:dyDescent="0.3">
      <c r="B515" t="s">
        <v>170</v>
      </c>
      <c r="C515" s="3" t="s">
        <v>209</v>
      </c>
      <c r="D515" s="132" t="str">
        <f>VLOOKUP(C515,Mapping!$AB$2:$AC$8,2,FALSE)</f>
        <v>Age 5 - 6</v>
      </c>
      <c r="E515" s="132" t="str">
        <f t="shared" si="17"/>
        <v>Greater Geelong (C)Age 5 - 6</v>
      </c>
      <c r="F515" s="132" t="str">
        <f>INDEX(Mapping!$Y:$Y,MATCH($B515,Mapping!$W:$W,0))</f>
        <v>Rural</v>
      </c>
      <c r="G515" s="45">
        <v>2626</v>
      </c>
      <c r="H515" s="45">
        <v>2733</v>
      </c>
      <c r="I515" s="45">
        <v>2887</v>
      </c>
      <c r="J515" s="5"/>
      <c r="K515" s="5"/>
      <c r="L515" s="5"/>
      <c r="M515" s="5"/>
    </row>
    <row r="516" spans="2:13" x14ac:dyDescent="0.3">
      <c r="B516" t="s">
        <v>114</v>
      </c>
      <c r="C516" s="3" t="s">
        <v>209</v>
      </c>
      <c r="D516" s="132" t="str">
        <f>VLOOKUP(C516,Mapping!$AB$2:$AC$8,2,FALSE)</f>
        <v>Age 5 - 6</v>
      </c>
      <c r="E516" s="132" t="str">
        <f t="shared" si="17"/>
        <v>Greater Shepparton (C)Age 5 - 6</v>
      </c>
      <c r="F516" s="132" t="str">
        <f>INDEX(Mapping!$Y:$Y,MATCH($B516,Mapping!$W:$W,0))</f>
        <v>Rural</v>
      </c>
      <c r="G516" s="45">
        <v>920</v>
      </c>
      <c r="H516" s="45">
        <v>968</v>
      </c>
      <c r="I516" s="45">
        <v>971</v>
      </c>
      <c r="J516" s="5"/>
      <c r="K516" s="5"/>
      <c r="L516" s="5"/>
      <c r="M516" s="5"/>
    </row>
    <row r="517" spans="2:13" x14ac:dyDescent="0.3">
      <c r="B517" t="s">
        <v>171</v>
      </c>
      <c r="C517" s="3" t="s">
        <v>209</v>
      </c>
      <c r="D517" s="132" t="str">
        <f>VLOOKUP(C517,Mapping!$AB$2:$AC$8,2,FALSE)</f>
        <v>Age 5 - 6</v>
      </c>
      <c r="E517" s="132" t="str">
        <f t="shared" si="17"/>
        <v>Hepburn (S)Age 5 - 6</v>
      </c>
      <c r="F517" s="132" t="str">
        <f>INDEX(Mapping!$Y:$Y,MATCH($B517,Mapping!$W:$W,0))</f>
        <v>Rural</v>
      </c>
      <c r="G517" s="45">
        <v>165</v>
      </c>
      <c r="H517" s="45">
        <v>141</v>
      </c>
      <c r="I517" s="45">
        <v>146</v>
      </c>
      <c r="J517" s="5"/>
      <c r="K517" s="5"/>
      <c r="L517" s="5"/>
      <c r="M517" s="5"/>
    </row>
    <row r="518" spans="2:13" x14ac:dyDescent="0.3">
      <c r="B518" t="s">
        <v>172</v>
      </c>
      <c r="C518" s="3" t="s">
        <v>209</v>
      </c>
      <c r="D518" s="132" t="str">
        <f>VLOOKUP(C518,Mapping!$AB$2:$AC$8,2,FALSE)</f>
        <v>Age 5 - 6</v>
      </c>
      <c r="E518" s="132" t="str">
        <f t="shared" si="17"/>
        <v>Hindmarsh (S)Age 5 - 6</v>
      </c>
      <c r="F518" s="132" t="str">
        <f>INDEX(Mapping!$Y:$Y,MATCH($B518,Mapping!$W:$W,0))</f>
        <v>Rural</v>
      </c>
      <c r="G518" s="45">
        <v>70</v>
      </c>
      <c r="H518" s="45">
        <v>69</v>
      </c>
      <c r="I518" s="45">
        <v>70</v>
      </c>
      <c r="J518" s="5"/>
      <c r="K518" s="5"/>
      <c r="L518" s="5"/>
      <c r="M518" s="5"/>
    </row>
    <row r="519" spans="2:13" x14ac:dyDescent="0.3">
      <c r="B519" t="s">
        <v>173</v>
      </c>
      <c r="C519" s="3" t="s">
        <v>209</v>
      </c>
      <c r="D519" s="132" t="str">
        <f>VLOOKUP(C519,Mapping!$AB$2:$AC$8,2,FALSE)</f>
        <v>Age 5 - 6</v>
      </c>
      <c r="E519" s="132" t="str">
        <f t="shared" si="17"/>
        <v>Hobsons Bay (C)Age 5 - 6</v>
      </c>
      <c r="F519" s="132" t="str">
        <f>INDEX(Mapping!$Y:$Y,MATCH($B519,Mapping!$W:$W,0))</f>
        <v>Metro</v>
      </c>
      <c r="G519" s="45">
        <v>1439</v>
      </c>
      <c r="H519" s="45">
        <v>1317</v>
      </c>
      <c r="I519" s="45">
        <v>1272</v>
      </c>
      <c r="J519" s="5"/>
      <c r="K519" s="5"/>
      <c r="L519" s="5"/>
      <c r="M519" s="5"/>
    </row>
    <row r="520" spans="2:13" x14ac:dyDescent="0.3">
      <c r="B520" t="s">
        <v>174</v>
      </c>
      <c r="C520" s="3" t="s">
        <v>209</v>
      </c>
      <c r="D520" s="132" t="str">
        <f>VLOOKUP(C520,Mapping!$AB$2:$AC$8,2,FALSE)</f>
        <v>Age 5 - 6</v>
      </c>
      <c r="E520" s="132" t="str">
        <f t="shared" si="17"/>
        <v>Horsham (RC)Age 5 - 6</v>
      </c>
      <c r="F520" s="132" t="str">
        <f>INDEX(Mapping!$Y:$Y,MATCH($B520,Mapping!$W:$W,0))</f>
        <v>Rural</v>
      </c>
      <c r="G520" s="45">
        <v>254</v>
      </c>
      <c r="H520" s="45">
        <v>271</v>
      </c>
      <c r="I520" s="45">
        <v>179</v>
      </c>
      <c r="J520" s="5"/>
      <c r="K520" s="5"/>
      <c r="L520" s="5"/>
      <c r="M520" s="5"/>
    </row>
    <row r="521" spans="2:13" x14ac:dyDescent="0.3">
      <c r="B521" t="s">
        <v>137</v>
      </c>
      <c r="C521" s="3" t="s">
        <v>209</v>
      </c>
      <c r="D521" s="132" t="str">
        <f>VLOOKUP(C521,Mapping!$AB$2:$AC$8,2,FALSE)</f>
        <v>Age 5 - 6</v>
      </c>
      <c r="E521" s="132" t="str">
        <f t="shared" si="17"/>
        <v>Hume (C)Age 5 - 6</v>
      </c>
      <c r="F521" s="132" t="str">
        <f>INDEX(Mapping!$Y:$Y,MATCH($B521,Mapping!$W:$W,0))</f>
        <v>Interface</v>
      </c>
      <c r="G521" s="45">
        <v>2839</v>
      </c>
      <c r="H521" s="45">
        <v>3216</v>
      </c>
      <c r="I521" s="45">
        <v>3332</v>
      </c>
      <c r="J521" s="5"/>
      <c r="K521" s="5"/>
      <c r="L521" s="5"/>
      <c r="M521" s="5"/>
    </row>
    <row r="522" spans="2:13" x14ac:dyDescent="0.3">
      <c r="B522" t="s">
        <v>115</v>
      </c>
      <c r="C522" s="3" t="s">
        <v>209</v>
      </c>
      <c r="D522" s="132" t="str">
        <f>VLOOKUP(C522,Mapping!$AB$2:$AC$8,2,FALSE)</f>
        <v>Age 5 - 6</v>
      </c>
      <c r="E522" s="132" t="str">
        <f t="shared" si="17"/>
        <v>Indigo (S)Age 5 - 6</v>
      </c>
      <c r="F522" s="132" t="str">
        <f>INDEX(Mapping!$Y:$Y,MATCH($B522,Mapping!$W:$W,0))</f>
        <v>Rural</v>
      </c>
      <c r="G522" s="45">
        <v>163</v>
      </c>
      <c r="H522" s="45">
        <v>163</v>
      </c>
      <c r="I522" s="45">
        <v>185</v>
      </c>
      <c r="J522" s="5"/>
      <c r="K522" s="5"/>
      <c r="L522" s="5"/>
      <c r="M522" s="5"/>
    </row>
    <row r="523" spans="2:13" x14ac:dyDescent="0.3">
      <c r="B523" t="s">
        <v>156</v>
      </c>
      <c r="C523" s="3" t="s">
        <v>209</v>
      </c>
      <c r="D523" s="132" t="str">
        <f>VLOOKUP(C523,Mapping!$AB$2:$AC$8,2,FALSE)</f>
        <v>Age 5 - 6</v>
      </c>
      <c r="E523" s="132" t="str">
        <f t="shared" si="17"/>
        <v>Kingston (C)Age 5 - 6</v>
      </c>
      <c r="F523" s="132" t="str">
        <f>INDEX(Mapping!$Y:$Y,MATCH($B523,Mapping!$W:$W,0))</f>
        <v>Metro</v>
      </c>
      <c r="G523" s="45">
        <v>1891</v>
      </c>
      <c r="H523" s="45">
        <v>1928</v>
      </c>
      <c r="I523" s="45">
        <v>2043</v>
      </c>
      <c r="J523" s="5"/>
      <c r="K523" s="5"/>
      <c r="L523" s="5"/>
      <c r="M523" s="5"/>
    </row>
    <row r="524" spans="2:13" x14ac:dyDescent="0.3">
      <c r="B524" t="s">
        <v>116</v>
      </c>
      <c r="C524" s="3" t="s">
        <v>209</v>
      </c>
      <c r="D524" s="132" t="str">
        <f>VLOOKUP(C524,Mapping!$AB$2:$AC$8,2,FALSE)</f>
        <v>Age 5 - 6</v>
      </c>
      <c r="E524" s="132" t="str">
        <f t="shared" si="17"/>
        <v>Knox (C)Age 5 - 6</v>
      </c>
      <c r="F524" s="132" t="str">
        <f>INDEX(Mapping!$Y:$Y,MATCH($B524,Mapping!$W:$W,0))</f>
        <v>Metro</v>
      </c>
      <c r="G524" s="45">
        <v>1883</v>
      </c>
      <c r="H524" s="45">
        <v>1805</v>
      </c>
      <c r="I524" s="45">
        <v>1885</v>
      </c>
      <c r="J524" s="5"/>
      <c r="K524" s="5"/>
      <c r="L524" s="5"/>
      <c r="M524" s="5"/>
    </row>
    <row r="525" spans="2:13" x14ac:dyDescent="0.3">
      <c r="B525" t="s">
        <v>157</v>
      </c>
      <c r="C525" s="3" t="s">
        <v>209</v>
      </c>
      <c r="D525" s="132" t="str">
        <f>VLOOKUP(C525,Mapping!$AB$2:$AC$8,2,FALSE)</f>
        <v>Age 5 - 6</v>
      </c>
      <c r="E525" s="132" t="str">
        <f t="shared" si="17"/>
        <v>Latrobe (C)Age 5 - 6</v>
      </c>
      <c r="F525" s="132" t="str">
        <f>INDEX(Mapping!$Y:$Y,MATCH($B525,Mapping!$W:$W,0))</f>
        <v>Rural</v>
      </c>
      <c r="G525" s="45">
        <v>1052</v>
      </c>
      <c r="H525" s="45">
        <v>972</v>
      </c>
      <c r="I525" s="45">
        <v>1041</v>
      </c>
      <c r="J525" s="5"/>
      <c r="K525" s="5"/>
      <c r="L525" s="5"/>
      <c r="M525" s="5"/>
    </row>
    <row r="526" spans="2:13" x14ac:dyDescent="0.3">
      <c r="B526" t="s">
        <v>138</v>
      </c>
      <c r="C526" s="3" t="s">
        <v>209</v>
      </c>
      <c r="D526" s="132" t="str">
        <f>VLOOKUP(C526,Mapping!$AB$2:$AC$8,2,FALSE)</f>
        <v>Age 5 - 6</v>
      </c>
      <c r="E526" s="132" t="str">
        <f t="shared" si="17"/>
        <v>Loddon (S)Age 5 - 6</v>
      </c>
      <c r="F526" s="132" t="str">
        <f>INDEX(Mapping!$Y:$Y,MATCH($B526,Mapping!$W:$W,0))</f>
        <v>Rural</v>
      </c>
      <c r="G526" s="45">
        <v>70</v>
      </c>
      <c r="H526" s="45">
        <v>65</v>
      </c>
      <c r="I526" s="45">
        <v>74</v>
      </c>
      <c r="J526" s="5"/>
      <c r="K526" s="5"/>
      <c r="L526" s="5"/>
      <c r="M526" s="5"/>
    </row>
    <row r="527" spans="2:13" x14ac:dyDescent="0.3">
      <c r="B527" t="s">
        <v>139</v>
      </c>
      <c r="C527" s="3" t="s">
        <v>209</v>
      </c>
      <c r="D527" s="132" t="str">
        <f>VLOOKUP(C527,Mapping!$AB$2:$AC$8,2,FALSE)</f>
        <v>Age 5 - 6</v>
      </c>
      <c r="E527" s="132" t="str">
        <f t="shared" si="17"/>
        <v>Macedon Ranges (S)Age 5 - 6</v>
      </c>
      <c r="F527" s="132" t="str">
        <f>INDEX(Mapping!$Y:$Y,MATCH($B527,Mapping!$W:$W,0))</f>
        <v>Rural</v>
      </c>
      <c r="G527" s="45">
        <v>665</v>
      </c>
      <c r="H527" s="45">
        <v>575</v>
      </c>
      <c r="I527" s="45">
        <v>553</v>
      </c>
      <c r="J527" s="5"/>
      <c r="K527" s="5"/>
      <c r="L527" s="5"/>
      <c r="M527" s="5"/>
    </row>
    <row r="528" spans="2:13" x14ac:dyDescent="0.3">
      <c r="B528" t="s">
        <v>117</v>
      </c>
      <c r="C528" s="3" t="s">
        <v>209</v>
      </c>
      <c r="D528" s="132" t="str">
        <f>VLOOKUP(C528,Mapping!$AB$2:$AC$8,2,FALSE)</f>
        <v>Age 5 - 6</v>
      </c>
      <c r="E528" s="132" t="str">
        <f t="shared" ref="E528:E567" si="18">B528&amp;D528</f>
        <v>Manningham (C)Age 5 - 6</v>
      </c>
      <c r="F528" s="132" t="str">
        <f>INDEX(Mapping!$Y:$Y,MATCH($B528,Mapping!$W:$W,0))</f>
        <v>Metro</v>
      </c>
      <c r="G528" s="45">
        <v>1156</v>
      </c>
      <c r="H528" s="45">
        <v>1155</v>
      </c>
      <c r="I528" s="45">
        <v>1210</v>
      </c>
      <c r="J528" s="5"/>
      <c r="K528" s="5"/>
      <c r="L528" s="5"/>
      <c r="M528" s="5"/>
    </row>
    <row r="529" spans="2:13" x14ac:dyDescent="0.3">
      <c r="B529" t="s">
        <v>118</v>
      </c>
      <c r="C529" s="3" t="s">
        <v>209</v>
      </c>
      <c r="D529" s="132" t="str">
        <f>VLOOKUP(C529,Mapping!$AB$2:$AC$8,2,FALSE)</f>
        <v>Age 5 - 6</v>
      </c>
      <c r="E529" s="132" t="str">
        <f t="shared" si="18"/>
        <v>Mansfield (S)Age 5 - 6</v>
      </c>
      <c r="F529" s="132" t="str">
        <f>INDEX(Mapping!$Y:$Y,MATCH($B529,Mapping!$W:$W,0))</f>
        <v>Rural</v>
      </c>
      <c r="G529" s="45">
        <v>101</v>
      </c>
      <c r="H529" s="45">
        <v>85</v>
      </c>
      <c r="I529" s="45">
        <v>90</v>
      </c>
      <c r="J529" s="5"/>
      <c r="K529" s="5"/>
      <c r="L529" s="5"/>
      <c r="M529" s="5"/>
    </row>
    <row r="530" spans="2:13" x14ac:dyDescent="0.3">
      <c r="B530" t="s">
        <v>175</v>
      </c>
      <c r="C530" s="3" t="s">
        <v>209</v>
      </c>
      <c r="D530" s="132" t="str">
        <f>VLOOKUP(C530,Mapping!$AB$2:$AC$8,2,FALSE)</f>
        <v>Age 5 - 6</v>
      </c>
      <c r="E530" s="132" t="str">
        <f t="shared" si="18"/>
        <v>Maribyrnong (C)Age 5 - 6</v>
      </c>
      <c r="F530" s="132" t="str">
        <f>INDEX(Mapping!$Y:$Y,MATCH($B530,Mapping!$W:$W,0))</f>
        <v>Metro</v>
      </c>
      <c r="G530" s="45">
        <v>1250</v>
      </c>
      <c r="H530" s="45">
        <v>1062</v>
      </c>
      <c r="I530" s="45">
        <v>1206</v>
      </c>
      <c r="J530" s="5"/>
      <c r="K530" s="5"/>
      <c r="L530" s="5"/>
      <c r="M530" s="5"/>
    </row>
    <row r="531" spans="2:13" x14ac:dyDescent="0.3">
      <c r="B531" t="s">
        <v>119</v>
      </c>
      <c r="C531" s="3" t="s">
        <v>209</v>
      </c>
      <c r="D531" s="132" t="str">
        <f>VLOOKUP(C531,Mapping!$AB$2:$AC$8,2,FALSE)</f>
        <v>Age 5 - 6</v>
      </c>
      <c r="E531" s="132" t="str">
        <f t="shared" si="18"/>
        <v>Maroondah (C)Age 5 - 6</v>
      </c>
      <c r="F531" s="132" t="str">
        <f>INDEX(Mapping!$Y:$Y,MATCH($B531,Mapping!$W:$W,0))</f>
        <v>Metro</v>
      </c>
      <c r="G531" s="45">
        <v>1527</v>
      </c>
      <c r="H531" s="45">
        <v>1519</v>
      </c>
      <c r="I531" s="45">
        <v>1610</v>
      </c>
      <c r="J531" s="5"/>
      <c r="K531" s="5"/>
      <c r="L531" s="5"/>
      <c r="M531" s="5"/>
    </row>
    <row r="532" spans="2:13" x14ac:dyDescent="0.3">
      <c r="B532" t="s">
        <v>176</v>
      </c>
      <c r="C532" s="3" t="s">
        <v>209</v>
      </c>
      <c r="D532" s="132" t="str">
        <f>VLOOKUP(C532,Mapping!$AB$2:$AC$8,2,FALSE)</f>
        <v>Age 5 - 6</v>
      </c>
      <c r="E532" s="132" t="str">
        <f t="shared" si="18"/>
        <v>Melbourne (C)Age 5 - 6</v>
      </c>
      <c r="F532" s="132" t="str">
        <f>INDEX(Mapping!$Y:$Y,MATCH($B532,Mapping!$W:$W,0))</f>
        <v>Metro</v>
      </c>
      <c r="G532" s="45">
        <v>795</v>
      </c>
      <c r="H532" s="45">
        <v>793</v>
      </c>
      <c r="I532" s="45">
        <v>903</v>
      </c>
      <c r="J532" s="5"/>
      <c r="K532" s="5"/>
      <c r="L532" s="5"/>
      <c r="M532" s="5"/>
    </row>
    <row r="533" spans="2:13" x14ac:dyDescent="0.3">
      <c r="B533" t="s">
        <v>177</v>
      </c>
      <c r="C533" s="3" t="s">
        <v>209</v>
      </c>
      <c r="D533" s="132" t="str">
        <f>VLOOKUP(C533,Mapping!$AB$2:$AC$8,2,FALSE)</f>
        <v>Age 5 - 6</v>
      </c>
      <c r="E533" s="132" t="str">
        <f t="shared" si="18"/>
        <v>Melton (C)Age 5 - 6</v>
      </c>
      <c r="F533" s="132" t="str">
        <f>INDEX(Mapping!$Y:$Y,MATCH($B533,Mapping!$W:$W,0))</f>
        <v>Interface</v>
      </c>
      <c r="G533" s="45">
        <v>2301</v>
      </c>
      <c r="H533" s="45">
        <v>2496</v>
      </c>
      <c r="I533" s="45">
        <v>2551</v>
      </c>
      <c r="J533" s="5"/>
      <c r="K533" s="5"/>
      <c r="L533" s="5"/>
      <c r="M533" s="5"/>
    </row>
    <row r="534" spans="2:13" x14ac:dyDescent="0.3">
      <c r="B534" t="s">
        <v>140</v>
      </c>
      <c r="C534" s="3" t="s">
        <v>209</v>
      </c>
      <c r="D534" s="132" t="str">
        <f>VLOOKUP(C534,Mapping!$AB$2:$AC$8,2,FALSE)</f>
        <v>Age 5 - 6</v>
      </c>
      <c r="E534" s="132" t="str">
        <f t="shared" si="18"/>
        <v>Mildura (RC)Age 5 - 6</v>
      </c>
      <c r="F534" s="132" t="str">
        <f>INDEX(Mapping!$Y:$Y,MATCH($B534,Mapping!$W:$W,0))</f>
        <v>Rural</v>
      </c>
      <c r="G534" s="45">
        <v>667</v>
      </c>
      <c r="H534" s="45">
        <v>747</v>
      </c>
      <c r="I534" s="45">
        <v>680</v>
      </c>
      <c r="J534" s="5"/>
      <c r="K534" s="5"/>
      <c r="L534" s="5"/>
      <c r="M534" s="5"/>
    </row>
    <row r="535" spans="2:13" x14ac:dyDescent="0.3">
      <c r="B535" t="s">
        <v>120</v>
      </c>
      <c r="C535" s="3" t="s">
        <v>209</v>
      </c>
      <c r="D535" s="132" t="str">
        <f>VLOOKUP(C535,Mapping!$AB$2:$AC$8,2,FALSE)</f>
        <v>Age 5 - 6</v>
      </c>
      <c r="E535" s="132" t="str">
        <f t="shared" si="18"/>
        <v>Mitchell (S)Age 5 - 6</v>
      </c>
      <c r="F535" s="132" t="str">
        <f>INDEX(Mapping!$Y:$Y,MATCH($B535,Mapping!$W:$W,0))</f>
        <v>Interface</v>
      </c>
      <c r="G535" s="45">
        <v>678</v>
      </c>
      <c r="H535" s="45">
        <v>612</v>
      </c>
      <c r="I535" s="45">
        <v>570</v>
      </c>
      <c r="J535" s="5"/>
      <c r="K535" s="5"/>
      <c r="L535" s="5"/>
      <c r="M535" s="5"/>
    </row>
    <row r="536" spans="2:13" x14ac:dyDescent="0.3">
      <c r="B536" t="s">
        <v>121</v>
      </c>
      <c r="C536" s="3" t="s">
        <v>209</v>
      </c>
      <c r="D536" s="132" t="str">
        <f>VLOOKUP(C536,Mapping!$AB$2:$AC$8,2,FALSE)</f>
        <v>Age 5 - 6</v>
      </c>
      <c r="E536" s="132" t="str">
        <f t="shared" si="18"/>
        <v>Moira (S)Age 5 - 6</v>
      </c>
      <c r="F536" s="132" t="str">
        <f>INDEX(Mapping!$Y:$Y,MATCH($B536,Mapping!$W:$W,0))</f>
        <v>Rural</v>
      </c>
      <c r="G536" s="45">
        <v>382</v>
      </c>
      <c r="H536" s="45">
        <v>413</v>
      </c>
      <c r="I536" s="45">
        <v>396</v>
      </c>
      <c r="J536" s="5"/>
      <c r="K536" s="5"/>
      <c r="L536" s="5"/>
      <c r="M536" s="5"/>
    </row>
    <row r="537" spans="2:13" x14ac:dyDescent="0.3">
      <c r="B537" t="s">
        <v>122</v>
      </c>
      <c r="C537" s="3" t="s">
        <v>209</v>
      </c>
      <c r="D537" s="132" t="str">
        <f>VLOOKUP(C537,Mapping!$AB$2:$AC$8,2,FALSE)</f>
        <v>Age 5 - 6</v>
      </c>
      <c r="E537" s="132" t="str">
        <f t="shared" si="18"/>
        <v>Monash (C)Age 5 - 6</v>
      </c>
      <c r="F537" s="132" t="str">
        <f>INDEX(Mapping!$Y:$Y,MATCH($B537,Mapping!$W:$W,0))</f>
        <v>Metro</v>
      </c>
      <c r="G537" s="45">
        <v>1930</v>
      </c>
      <c r="H537" s="45">
        <v>1919</v>
      </c>
      <c r="I537" s="45">
        <v>2021</v>
      </c>
      <c r="J537" s="5"/>
      <c r="K537" s="5"/>
      <c r="L537" s="5"/>
      <c r="M537" s="5"/>
    </row>
    <row r="538" spans="2:13" x14ac:dyDescent="0.3">
      <c r="B538" t="s">
        <v>178</v>
      </c>
      <c r="C538" s="3" t="s">
        <v>209</v>
      </c>
      <c r="D538" s="132" t="str">
        <f>VLOOKUP(C538,Mapping!$AB$2:$AC$8,2,FALSE)</f>
        <v>Age 5 - 6</v>
      </c>
      <c r="E538" s="132" t="str">
        <f t="shared" si="18"/>
        <v>Moonee Valley (C)Age 5 - 6</v>
      </c>
      <c r="F538" s="132" t="str">
        <f>INDEX(Mapping!$Y:$Y,MATCH($B538,Mapping!$W:$W,0))</f>
        <v>Metro</v>
      </c>
      <c r="G538" s="45">
        <v>1205</v>
      </c>
      <c r="H538" s="45">
        <v>1270</v>
      </c>
      <c r="I538" s="45">
        <v>1026</v>
      </c>
      <c r="J538" s="5"/>
      <c r="K538" s="5"/>
      <c r="L538" s="5"/>
      <c r="M538" s="5"/>
    </row>
    <row r="539" spans="2:13" x14ac:dyDescent="0.3">
      <c r="B539" t="s">
        <v>179</v>
      </c>
      <c r="C539" s="3" t="s">
        <v>209</v>
      </c>
      <c r="D539" s="132" t="str">
        <f>VLOOKUP(C539,Mapping!$AB$2:$AC$8,2,FALSE)</f>
        <v>Age 5 - 6</v>
      </c>
      <c r="E539" s="132" t="str">
        <f t="shared" si="18"/>
        <v>Moorabool (S)Age 5 - 6</v>
      </c>
      <c r="F539" s="132" t="str">
        <f>INDEX(Mapping!$Y:$Y,MATCH($B539,Mapping!$W:$W,0))</f>
        <v>Rural</v>
      </c>
      <c r="G539" s="45">
        <v>377</v>
      </c>
      <c r="H539" s="45">
        <v>373</v>
      </c>
      <c r="I539" s="45">
        <v>382</v>
      </c>
      <c r="J539" s="5"/>
      <c r="K539" s="5"/>
      <c r="L539" s="5"/>
      <c r="M539" s="5"/>
    </row>
    <row r="540" spans="2:13" x14ac:dyDescent="0.3">
      <c r="B540" t="s">
        <v>141</v>
      </c>
      <c r="C540" s="3" t="s">
        <v>209</v>
      </c>
      <c r="D540" s="132" t="str">
        <f>VLOOKUP(C540,Mapping!$AB$2:$AC$8,2,FALSE)</f>
        <v>Age 5 - 6</v>
      </c>
      <c r="E540" s="132" t="str">
        <f t="shared" si="18"/>
        <v>Moreland (C)Age 5 - 6</v>
      </c>
      <c r="F540" s="132" t="str">
        <f>INDEX(Mapping!$Y:$Y,MATCH($B540,Mapping!$W:$W,0))</f>
        <v>Metro</v>
      </c>
      <c r="G540" s="45">
        <v>2277</v>
      </c>
      <c r="H540" s="45">
        <v>2114</v>
      </c>
      <c r="I540" s="45">
        <v>2287</v>
      </c>
      <c r="J540" s="5"/>
      <c r="K540" s="5"/>
      <c r="L540" s="5"/>
      <c r="M540" s="5"/>
    </row>
    <row r="541" spans="2:13" x14ac:dyDescent="0.3">
      <c r="B541" t="s">
        <v>158</v>
      </c>
      <c r="C541" s="3" t="s">
        <v>209</v>
      </c>
      <c r="D541" s="132" t="str">
        <f>VLOOKUP(C541,Mapping!$AB$2:$AC$8,2,FALSE)</f>
        <v>Age 5 - 6</v>
      </c>
      <c r="E541" s="132" t="str">
        <f t="shared" si="18"/>
        <v>Mornington Peninsula (S)Age 5 - 6</v>
      </c>
      <c r="F541" s="132" t="str">
        <f>INDEX(Mapping!$Y:$Y,MATCH($B541,Mapping!$W:$W,0))</f>
        <v>Interface</v>
      </c>
      <c r="G541" s="45">
        <v>2002</v>
      </c>
      <c r="H541" s="45">
        <v>1890</v>
      </c>
      <c r="I541" s="45">
        <v>1811</v>
      </c>
      <c r="J541" s="5"/>
      <c r="K541" s="5"/>
      <c r="L541" s="5"/>
      <c r="M541" s="5"/>
    </row>
    <row r="542" spans="2:13" x14ac:dyDescent="0.3">
      <c r="B542" t="s">
        <v>142</v>
      </c>
      <c r="C542" s="3" t="s">
        <v>209</v>
      </c>
      <c r="D542" s="132" t="str">
        <f>VLOOKUP(C542,Mapping!$AB$2:$AC$8,2,FALSE)</f>
        <v>Age 5 - 6</v>
      </c>
      <c r="E542" s="132" t="str">
        <f t="shared" si="18"/>
        <v>Mount Alexander (S)Age 5 - 6</v>
      </c>
      <c r="F542" s="132" t="str">
        <f>INDEX(Mapping!$Y:$Y,MATCH($B542,Mapping!$W:$W,0))</f>
        <v>Rural</v>
      </c>
      <c r="G542" s="45">
        <v>193</v>
      </c>
      <c r="H542" s="45">
        <v>164</v>
      </c>
      <c r="I542" s="45">
        <v>182</v>
      </c>
      <c r="J542" s="5"/>
      <c r="K542" s="5"/>
      <c r="L542" s="5"/>
      <c r="M542" s="5"/>
    </row>
    <row r="543" spans="2:13" x14ac:dyDescent="0.3">
      <c r="B543" t="s">
        <v>180</v>
      </c>
      <c r="C543" s="3" t="s">
        <v>209</v>
      </c>
      <c r="D543" s="132" t="str">
        <f>VLOOKUP(C543,Mapping!$AB$2:$AC$8,2,FALSE)</f>
        <v>Age 5 - 6</v>
      </c>
      <c r="E543" s="132" t="str">
        <f t="shared" si="18"/>
        <v>Moyne (S)Age 5 - 6</v>
      </c>
      <c r="F543" s="132" t="str">
        <f>INDEX(Mapping!$Y:$Y,MATCH($B543,Mapping!$W:$W,0))</f>
        <v>Rural</v>
      </c>
      <c r="G543" s="45">
        <v>245</v>
      </c>
      <c r="H543" s="45">
        <v>227</v>
      </c>
      <c r="I543" s="45">
        <v>205</v>
      </c>
      <c r="J543" s="5"/>
      <c r="K543" s="5"/>
      <c r="L543" s="5"/>
      <c r="M543" s="5"/>
    </row>
    <row r="544" spans="2:13" x14ac:dyDescent="0.3">
      <c r="B544" t="s">
        <v>123</v>
      </c>
      <c r="C544" s="3" t="s">
        <v>209</v>
      </c>
      <c r="D544" s="132" t="str">
        <f>VLOOKUP(C544,Mapping!$AB$2:$AC$8,2,FALSE)</f>
        <v>Age 5 - 6</v>
      </c>
      <c r="E544" s="132" t="str">
        <f t="shared" si="18"/>
        <v>Murrindindi (S)Age 5 - 6</v>
      </c>
      <c r="F544" s="132" t="str">
        <f>INDEX(Mapping!$Y:$Y,MATCH($B544,Mapping!$W:$W,0))</f>
        <v>Rural</v>
      </c>
      <c r="G544" s="45">
        <v>170</v>
      </c>
      <c r="H544" s="45">
        <v>138</v>
      </c>
      <c r="I544" s="45">
        <v>118</v>
      </c>
      <c r="J544" s="5"/>
      <c r="K544" s="5"/>
      <c r="L544" s="5"/>
      <c r="M544" s="5"/>
    </row>
    <row r="545" spans="2:13" x14ac:dyDescent="0.3">
      <c r="B545" t="s">
        <v>143</v>
      </c>
      <c r="C545" s="3" t="s">
        <v>209</v>
      </c>
      <c r="D545" s="132" t="str">
        <f>VLOOKUP(C545,Mapping!$AB$2:$AC$8,2,FALSE)</f>
        <v>Age 5 - 6</v>
      </c>
      <c r="E545" s="132" t="str">
        <f t="shared" si="18"/>
        <v>Nillumbik (S)Age 5 - 6</v>
      </c>
      <c r="F545" s="132" t="str">
        <f>INDEX(Mapping!$Y:$Y,MATCH($B545,Mapping!$W:$W,0))</f>
        <v>Interface</v>
      </c>
      <c r="G545" s="45">
        <v>810</v>
      </c>
      <c r="H545" s="45">
        <v>740</v>
      </c>
      <c r="I545" s="45">
        <v>695</v>
      </c>
      <c r="J545" s="5"/>
      <c r="K545" s="5"/>
      <c r="L545" s="5"/>
      <c r="M545" s="5"/>
    </row>
    <row r="546" spans="2:13" x14ac:dyDescent="0.3">
      <c r="B546" t="s">
        <v>181</v>
      </c>
      <c r="C546" s="3" t="s">
        <v>209</v>
      </c>
      <c r="D546" s="132" t="str">
        <f>VLOOKUP(C546,Mapping!$AB$2:$AC$8,2,FALSE)</f>
        <v>Age 5 - 6</v>
      </c>
      <c r="E546" s="132" t="str">
        <f t="shared" si="18"/>
        <v>Northern Grampians (S)Age 5 - 6</v>
      </c>
      <c r="F546" s="132" t="str">
        <f>INDEX(Mapping!$Y:$Y,MATCH($B546,Mapping!$W:$W,0))</f>
        <v>Rural</v>
      </c>
      <c r="G546" s="45">
        <v>111</v>
      </c>
      <c r="H546" s="45">
        <v>109</v>
      </c>
      <c r="I546" s="45">
        <v>107</v>
      </c>
      <c r="J546" s="5"/>
      <c r="K546" s="5"/>
      <c r="L546" s="5"/>
      <c r="M546" s="5"/>
    </row>
    <row r="547" spans="2:13" x14ac:dyDescent="0.3">
      <c r="B547" t="s">
        <v>159</v>
      </c>
      <c r="C547" s="3" t="s">
        <v>209</v>
      </c>
      <c r="D547" s="132" t="str">
        <f>VLOOKUP(C547,Mapping!$AB$2:$AC$8,2,FALSE)</f>
        <v>Age 5 - 6</v>
      </c>
      <c r="E547" s="132" t="str">
        <f t="shared" si="18"/>
        <v>Port Phillip (C)Age 5 - 6</v>
      </c>
      <c r="F547" s="132" t="str">
        <f>INDEX(Mapping!$Y:$Y,MATCH($B547,Mapping!$W:$W,0))</f>
        <v>Metro</v>
      </c>
      <c r="G547" s="45">
        <v>1149</v>
      </c>
      <c r="H547" s="45">
        <v>1211</v>
      </c>
      <c r="I547" s="45">
        <v>1139</v>
      </c>
      <c r="J547" s="5"/>
      <c r="K547" s="5"/>
      <c r="L547" s="5"/>
      <c r="M547" s="5"/>
    </row>
    <row r="548" spans="2:13" x14ac:dyDescent="0.3">
      <c r="B548" t="s">
        <v>182</v>
      </c>
      <c r="C548" s="3" t="s">
        <v>209</v>
      </c>
      <c r="D548" s="132" t="str">
        <f>VLOOKUP(C548,Mapping!$AB$2:$AC$8,2,FALSE)</f>
        <v>Age 5 - 6</v>
      </c>
      <c r="E548" s="132" t="str">
        <f t="shared" si="18"/>
        <v>Pyrenees (S)Age 5 - 6</v>
      </c>
      <c r="F548" s="132" t="str">
        <f>INDEX(Mapping!$Y:$Y,MATCH($B548,Mapping!$W:$W,0))</f>
        <v>Rural</v>
      </c>
      <c r="G548" s="45">
        <v>58</v>
      </c>
      <c r="H548" s="45">
        <v>68</v>
      </c>
      <c r="I548" s="45">
        <v>54</v>
      </c>
      <c r="J548" s="5"/>
      <c r="K548" s="5"/>
      <c r="L548" s="5"/>
      <c r="M548" s="5"/>
    </row>
    <row r="549" spans="2:13" x14ac:dyDescent="0.3">
      <c r="B549" t="s">
        <v>183</v>
      </c>
      <c r="C549" s="3" t="s">
        <v>209</v>
      </c>
      <c r="D549" s="132" t="str">
        <f>VLOOKUP(C549,Mapping!$AB$2:$AC$8,2,FALSE)</f>
        <v>Age 5 - 6</v>
      </c>
      <c r="E549" s="132" t="str">
        <f t="shared" si="18"/>
        <v>Queenscliffe (B)Age 5 - 6</v>
      </c>
      <c r="F549" s="132" t="str">
        <f>INDEX(Mapping!$Y:$Y,MATCH($B549,Mapping!$W:$W,0))</f>
        <v>Rural</v>
      </c>
      <c r="G549" s="45">
        <v>33</v>
      </c>
      <c r="H549" s="45">
        <v>25</v>
      </c>
      <c r="I549" s="45">
        <v>23</v>
      </c>
      <c r="J549" s="5"/>
      <c r="K549" s="5"/>
      <c r="L549" s="5"/>
      <c r="M549" s="5"/>
    </row>
    <row r="550" spans="2:13" x14ac:dyDescent="0.3">
      <c r="B550" t="s">
        <v>160</v>
      </c>
      <c r="C550" s="3" t="s">
        <v>209</v>
      </c>
      <c r="D550" s="132" t="str">
        <f>VLOOKUP(C550,Mapping!$AB$2:$AC$8,2,FALSE)</f>
        <v>Age 5 - 6</v>
      </c>
      <c r="E550" s="132" t="str">
        <f t="shared" si="18"/>
        <v>South Gippsland (S)Age 5 - 6</v>
      </c>
      <c r="F550" s="132" t="str">
        <f>INDEX(Mapping!$Y:$Y,MATCH($B550,Mapping!$W:$W,0))</f>
        <v>Rural</v>
      </c>
      <c r="G550" s="45">
        <v>349</v>
      </c>
      <c r="H550" s="45">
        <v>22</v>
      </c>
      <c r="I550" s="45">
        <v>370</v>
      </c>
      <c r="J550" s="5"/>
      <c r="K550" s="5"/>
      <c r="L550" s="5"/>
      <c r="M550" s="5"/>
    </row>
    <row r="551" spans="2:13" x14ac:dyDescent="0.3">
      <c r="B551" t="s">
        <v>184</v>
      </c>
      <c r="C551" s="3" t="s">
        <v>209</v>
      </c>
      <c r="D551" s="132" t="str">
        <f>VLOOKUP(C551,Mapping!$AB$2:$AC$8,2,FALSE)</f>
        <v>Age 5 - 6</v>
      </c>
      <c r="E551" s="132" t="str">
        <f t="shared" si="18"/>
        <v>Southern Grampians (S)Age 5 - 6</v>
      </c>
      <c r="F551" s="132" t="str">
        <f>INDEX(Mapping!$Y:$Y,MATCH($B551,Mapping!$W:$W,0))</f>
        <v>Rural</v>
      </c>
      <c r="G551" s="45">
        <v>200</v>
      </c>
      <c r="H551" s="45">
        <v>211</v>
      </c>
      <c r="I551" s="45">
        <v>199</v>
      </c>
      <c r="J551" s="5"/>
      <c r="K551" s="5"/>
      <c r="L551" s="5"/>
      <c r="M551" s="5"/>
    </row>
    <row r="552" spans="2:13" x14ac:dyDescent="0.3">
      <c r="B552" t="s">
        <v>161</v>
      </c>
      <c r="C552" s="3" t="s">
        <v>209</v>
      </c>
      <c r="D552" s="132" t="str">
        <f>VLOOKUP(C552,Mapping!$AB$2:$AC$8,2,FALSE)</f>
        <v>Age 5 - 6</v>
      </c>
      <c r="E552" s="132" t="str">
        <f t="shared" si="18"/>
        <v>Stonnington (C)Age 5 - 6</v>
      </c>
      <c r="F552" s="132" t="str">
        <f>INDEX(Mapping!$Y:$Y,MATCH($B552,Mapping!$W:$W,0))</f>
        <v>Metro</v>
      </c>
      <c r="G552" s="45">
        <v>1300</v>
      </c>
      <c r="H552" s="45">
        <v>1003</v>
      </c>
      <c r="I552" s="45">
        <v>1008</v>
      </c>
      <c r="J552" s="5"/>
      <c r="K552" s="5"/>
      <c r="L552" s="5"/>
      <c r="M552" s="5"/>
    </row>
    <row r="553" spans="2:13" x14ac:dyDescent="0.3">
      <c r="B553" t="s">
        <v>124</v>
      </c>
      <c r="C553" s="3" t="s">
        <v>209</v>
      </c>
      <c r="D553" s="132" t="str">
        <f>VLOOKUP(C553,Mapping!$AB$2:$AC$8,2,FALSE)</f>
        <v>Age 5 - 6</v>
      </c>
      <c r="E553" s="132" t="str">
        <f t="shared" si="18"/>
        <v>Strathbogie (S)Age 5 - 6</v>
      </c>
      <c r="F553" s="132" t="str">
        <f>INDEX(Mapping!$Y:$Y,MATCH($B553,Mapping!$W:$W,0))</f>
        <v>Rural</v>
      </c>
      <c r="G553" s="45">
        <v>100</v>
      </c>
      <c r="H553" s="45">
        <v>91</v>
      </c>
      <c r="I553" s="45">
        <v>86</v>
      </c>
      <c r="J553" s="5"/>
      <c r="K553" s="5"/>
      <c r="L553" s="5"/>
      <c r="M553" s="5"/>
    </row>
    <row r="554" spans="2:13" x14ac:dyDescent="0.3">
      <c r="B554" t="s">
        <v>185</v>
      </c>
      <c r="C554" s="3" t="s">
        <v>209</v>
      </c>
      <c r="D554" s="132" t="str">
        <f>VLOOKUP(C554,Mapping!$AB$2:$AC$8,2,FALSE)</f>
        <v>Age 5 - 6</v>
      </c>
      <c r="E554" s="132" t="str">
        <f t="shared" si="18"/>
        <v>Surf Coast (S)Age 5 - 6</v>
      </c>
      <c r="F554" s="132" t="str">
        <f>INDEX(Mapping!$Y:$Y,MATCH($B554,Mapping!$W:$W,0))</f>
        <v>Rural</v>
      </c>
      <c r="G554" s="45">
        <v>384</v>
      </c>
      <c r="H554" s="45">
        <v>365</v>
      </c>
      <c r="I554" s="45">
        <v>365</v>
      </c>
      <c r="J554" s="5"/>
      <c r="K554" s="5"/>
      <c r="L554" s="5"/>
      <c r="M554" s="5"/>
    </row>
    <row r="555" spans="2:13" x14ac:dyDescent="0.3">
      <c r="B555" t="s">
        <v>144</v>
      </c>
      <c r="C555" s="3" t="s">
        <v>209</v>
      </c>
      <c r="D555" s="132" t="str">
        <f>VLOOKUP(C555,Mapping!$AB$2:$AC$8,2,FALSE)</f>
        <v>Age 5 - 6</v>
      </c>
      <c r="E555" s="132" t="str">
        <f t="shared" si="18"/>
        <v>Swan Hill (RC)Age 5 - 6</v>
      </c>
      <c r="F555" s="132" t="str">
        <f>INDEX(Mapping!$Y:$Y,MATCH($B555,Mapping!$W:$W,0))</f>
        <v>Rural</v>
      </c>
      <c r="G555" s="45">
        <v>416</v>
      </c>
      <c r="H555" s="45">
        <v>347</v>
      </c>
      <c r="I555" s="45">
        <v>336</v>
      </c>
      <c r="J555" s="5"/>
      <c r="K555" s="5"/>
      <c r="L555" s="5"/>
      <c r="M555" s="5"/>
    </row>
    <row r="556" spans="2:13" x14ac:dyDescent="0.3">
      <c r="B556" t="s">
        <v>125</v>
      </c>
      <c r="C556" s="3" t="s">
        <v>209</v>
      </c>
      <c r="D556" s="132" t="str">
        <f>VLOOKUP(C556,Mapping!$AB$2:$AC$8,2,FALSE)</f>
        <v>Age 5 - 6</v>
      </c>
      <c r="E556" s="132" t="str">
        <f t="shared" si="18"/>
        <v>Towong (S)Age 5 - 6</v>
      </c>
      <c r="F556" s="132" t="str">
        <f>INDEX(Mapping!$Y:$Y,MATCH($B556,Mapping!$W:$W,0))</f>
        <v>Rural</v>
      </c>
      <c r="G556" s="45">
        <v>55</v>
      </c>
      <c r="H556" s="45">
        <v>67</v>
      </c>
      <c r="I556" s="45">
        <v>62</v>
      </c>
      <c r="J556" s="5"/>
      <c r="K556" s="5"/>
      <c r="L556" s="5"/>
      <c r="M556" s="5"/>
    </row>
    <row r="557" spans="2:13" x14ac:dyDescent="0.3">
      <c r="B557" t="s">
        <v>126</v>
      </c>
      <c r="C557" s="3" t="s">
        <v>209</v>
      </c>
      <c r="D557" s="132" t="str">
        <f>VLOOKUP(C557,Mapping!$AB$2:$AC$8,2,FALSE)</f>
        <v>Age 5 - 6</v>
      </c>
      <c r="E557" s="132" t="str">
        <f t="shared" si="18"/>
        <v>Wangaratta (RC)Age 5 - 6</v>
      </c>
      <c r="F557" s="132" t="str">
        <f>INDEX(Mapping!$Y:$Y,MATCH($B557,Mapping!$W:$W,0))</f>
        <v>Rural</v>
      </c>
      <c r="G557" s="45">
        <v>343</v>
      </c>
      <c r="H557" s="45">
        <v>338</v>
      </c>
      <c r="I557" s="45">
        <v>325</v>
      </c>
      <c r="J557" s="5"/>
      <c r="K557" s="5"/>
      <c r="L557" s="5"/>
      <c r="M557" s="5"/>
    </row>
    <row r="558" spans="2:13" x14ac:dyDescent="0.3">
      <c r="B558" t="s">
        <v>186</v>
      </c>
      <c r="C558" s="3" t="s">
        <v>209</v>
      </c>
      <c r="D558" s="132" t="str">
        <f>VLOOKUP(C558,Mapping!$AB$2:$AC$8,2,FALSE)</f>
        <v>Age 5 - 6</v>
      </c>
      <c r="E558" s="132" t="str">
        <f t="shared" si="18"/>
        <v>Warrnambool (C)Age 5 - 6</v>
      </c>
      <c r="F558" s="132" t="str">
        <f>INDEX(Mapping!$Y:$Y,MATCH($B558,Mapping!$W:$W,0))</f>
        <v>Rural</v>
      </c>
      <c r="G558" s="45">
        <v>432</v>
      </c>
      <c r="H558" s="45">
        <v>417</v>
      </c>
      <c r="I558" s="45">
        <v>419</v>
      </c>
      <c r="J558" s="5"/>
      <c r="K558" s="5"/>
      <c r="L558" s="5"/>
      <c r="M558" s="5"/>
    </row>
    <row r="559" spans="2:13" x14ac:dyDescent="0.3">
      <c r="B559" t="s">
        <v>162</v>
      </c>
      <c r="C559" s="3" t="s">
        <v>209</v>
      </c>
      <c r="D559" s="132" t="str">
        <f>VLOOKUP(C559,Mapping!$AB$2:$AC$8,2,FALSE)</f>
        <v>Age 5 - 6</v>
      </c>
      <c r="E559" s="132" t="str">
        <f t="shared" si="18"/>
        <v>Wellington (S)Age 5 - 6</v>
      </c>
      <c r="F559" s="132" t="str">
        <f>INDEX(Mapping!$Y:$Y,MATCH($B559,Mapping!$W:$W,0))</f>
        <v>Rural</v>
      </c>
      <c r="G559" s="45">
        <v>641</v>
      </c>
      <c r="H559" s="45">
        <v>535</v>
      </c>
      <c r="I559" s="45">
        <v>529</v>
      </c>
      <c r="J559" s="5"/>
      <c r="K559" s="5"/>
      <c r="L559" s="5"/>
      <c r="M559" s="5"/>
    </row>
    <row r="560" spans="2:13" x14ac:dyDescent="0.3">
      <c r="B560" t="s">
        <v>187</v>
      </c>
      <c r="C560" s="3" t="s">
        <v>209</v>
      </c>
      <c r="D560" s="132" t="str">
        <f>VLOOKUP(C560,Mapping!$AB$2:$AC$8,2,FALSE)</f>
        <v>Age 5 - 6</v>
      </c>
      <c r="E560" s="132" t="str">
        <f t="shared" si="18"/>
        <v>West Wimmera (S)Age 5 - 6</v>
      </c>
      <c r="F560" s="132" t="str">
        <f>INDEX(Mapping!$Y:$Y,MATCH($B560,Mapping!$W:$W,0))</f>
        <v>Rural</v>
      </c>
      <c r="G560" s="45">
        <v>27</v>
      </c>
      <c r="H560" s="45">
        <v>23</v>
      </c>
      <c r="I560" s="45">
        <v>35</v>
      </c>
      <c r="J560" s="5"/>
      <c r="K560" s="5"/>
      <c r="L560" s="5"/>
      <c r="M560" s="5"/>
    </row>
    <row r="561" spans="2:13" x14ac:dyDescent="0.3">
      <c r="B561" t="s">
        <v>127</v>
      </c>
      <c r="C561" s="3" t="s">
        <v>209</v>
      </c>
      <c r="D561" s="132" t="str">
        <f>VLOOKUP(C561,Mapping!$AB$2:$AC$8,2,FALSE)</f>
        <v>Age 5 - 6</v>
      </c>
      <c r="E561" s="132" t="str">
        <f t="shared" si="18"/>
        <v>Whitehorse (C)Age 5 - 6</v>
      </c>
      <c r="F561" s="132" t="str">
        <f>INDEX(Mapping!$Y:$Y,MATCH($B561,Mapping!$W:$W,0))</f>
        <v>Metro</v>
      </c>
      <c r="G561" s="45">
        <v>1908</v>
      </c>
      <c r="H561" s="45">
        <v>3363</v>
      </c>
      <c r="I561" s="45">
        <v>1239</v>
      </c>
      <c r="J561" s="5"/>
      <c r="K561" s="5"/>
      <c r="L561" s="5"/>
      <c r="M561" s="5"/>
    </row>
    <row r="562" spans="2:13" x14ac:dyDescent="0.3">
      <c r="B562" t="s">
        <v>145</v>
      </c>
      <c r="C562" s="3" t="s">
        <v>209</v>
      </c>
      <c r="D562" s="132" t="str">
        <f>VLOOKUP(C562,Mapping!$AB$2:$AC$8,2,FALSE)</f>
        <v>Age 5 - 6</v>
      </c>
      <c r="E562" s="132" t="str">
        <f t="shared" si="18"/>
        <v>Whittlesea (C)Age 5 - 6</v>
      </c>
      <c r="F562" s="132" t="str">
        <f>INDEX(Mapping!$Y:$Y,MATCH($B562,Mapping!$W:$W,0))</f>
        <v>Interface</v>
      </c>
      <c r="G562" s="45">
        <v>2812</v>
      </c>
      <c r="H562" s="45">
        <v>3129</v>
      </c>
      <c r="I562" s="45">
        <v>3483</v>
      </c>
      <c r="J562" s="5"/>
      <c r="K562" s="5"/>
      <c r="L562" s="5"/>
      <c r="M562" s="5"/>
    </row>
    <row r="563" spans="2:13" x14ac:dyDescent="0.3">
      <c r="B563" t="s">
        <v>128</v>
      </c>
      <c r="C563" s="3" t="s">
        <v>209</v>
      </c>
      <c r="D563" s="132" t="str">
        <f>VLOOKUP(C563,Mapping!$AB$2:$AC$8,2,FALSE)</f>
        <v>Age 5 - 6</v>
      </c>
      <c r="E563" s="132" t="str">
        <f t="shared" si="18"/>
        <v>Wodonga (RC)Age 5 - 6</v>
      </c>
      <c r="F563" s="132" t="str">
        <f>INDEX(Mapping!$Y:$Y,MATCH($B563,Mapping!$W:$W,0))</f>
        <v>Rural</v>
      </c>
      <c r="G563" s="45">
        <v>609</v>
      </c>
      <c r="H563" s="45">
        <v>595</v>
      </c>
      <c r="I563" s="45">
        <v>712</v>
      </c>
      <c r="J563" s="5"/>
      <c r="K563" s="5"/>
      <c r="L563" s="5"/>
      <c r="M563" s="5"/>
    </row>
    <row r="564" spans="2:13" x14ac:dyDescent="0.3">
      <c r="B564" t="s">
        <v>188</v>
      </c>
      <c r="C564" s="3" t="s">
        <v>209</v>
      </c>
      <c r="D564" s="132" t="str">
        <f>VLOOKUP(C564,Mapping!$AB$2:$AC$8,2,FALSE)</f>
        <v>Age 5 - 6</v>
      </c>
      <c r="E564" s="132" t="str">
        <f t="shared" si="18"/>
        <v>Wyndham (C)Age 5 - 6</v>
      </c>
      <c r="F564" s="132" t="str">
        <f>INDEX(Mapping!$Y:$Y,MATCH($B564,Mapping!$W:$W,0))</f>
        <v>Interface</v>
      </c>
      <c r="G564" s="45">
        <v>3981</v>
      </c>
      <c r="H564" s="45">
        <v>4351</v>
      </c>
      <c r="I564" s="45">
        <v>4834</v>
      </c>
      <c r="J564" s="5"/>
      <c r="K564" s="5"/>
      <c r="L564" s="5"/>
      <c r="M564" s="5"/>
    </row>
    <row r="565" spans="2:13" x14ac:dyDescent="0.3">
      <c r="B565" t="s">
        <v>146</v>
      </c>
      <c r="C565" s="3" t="s">
        <v>209</v>
      </c>
      <c r="D565" s="132" t="str">
        <f>VLOOKUP(C565,Mapping!$AB$2:$AC$8,2,FALSE)</f>
        <v>Age 5 - 6</v>
      </c>
      <c r="E565" s="132" t="str">
        <f t="shared" si="18"/>
        <v>Yarra (C)Age 5 - 6</v>
      </c>
      <c r="F565" s="132" t="str">
        <f>INDEX(Mapping!$Y:$Y,MATCH($B565,Mapping!$W:$W,0))</f>
        <v>Metro</v>
      </c>
      <c r="G565" s="45">
        <v>798</v>
      </c>
      <c r="H565" s="45">
        <v>790</v>
      </c>
      <c r="I565" s="45">
        <v>762</v>
      </c>
      <c r="J565" s="5"/>
      <c r="K565" s="5"/>
      <c r="L565" s="5"/>
      <c r="M565" s="5"/>
    </row>
    <row r="566" spans="2:13" x14ac:dyDescent="0.3">
      <c r="B566" t="s">
        <v>129</v>
      </c>
      <c r="C566" s="3" t="s">
        <v>209</v>
      </c>
      <c r="D566" s="132" t="str">
        <f>VLOOKUP(C566,Mapping!$AB$2:$AC$8,2,FALSE)</f>
        <v>Age 5 - 6</v>
      </c>
      <c r="E566" s="132" t="str">
        <f t="shared" si="18"/>
        <v>Yarra Ranges (S)Age 5 - 6</v>
      </c>
      <c r="F566" s="132" t="str">
        <f>INDEX(Mapping!$Y:$Y,MATCH($B566,Mapping!$W:$W,0))</f>
        <v>Interface</v>
      </c>
      <c r="G566" s="45">
        <v>1897</v>
      </c>
      <c r="H566" s="45">
        <v>1956</v>
      </c>
      <c r="I566" s="45">
        <v>1898</v>
      </c>
      <c r="J566" s="5"/>
      <c r="K566" s="5"/>
      <c r="L566" s="5"/>
      <c r="M566" s="5"/>
    </row>
    <row r="567" spans="2:13" x14ac:dyDescent="0.3">
      <c r="B567" t="s">
        <v>189</v>
      </c>
      <c r="C567" s="3" t="s">
        <v>209</v>
      </c>
      <c r="D567" s="132" t="str">
        <f>VLOOKUP(C567,Mapping!$AB$2:$AC$8,2,FALSE)</f>
        <v>Age 5 - 6</v>
      </c>
      <c r="E567" s="132" t="str">
        <f t="shared" si="18"/>
        <v>Yarriambiack (S)Age 5 - 6</v>
      </c>
      <c r="F567" s="132" t="str">
        <f>INDEX(Mapping!$Y:$Y,MATCH($B567,Mapping!$W:$W,0))</f>
        <v>Rural</v>
      </c>
      <c r="G567" s="45">
        <v>69</v>
      </c>
      <c r="H567" s="45">
        <v>74</v>
      </c>
      <c r="I567" s="45">
        <v>57</v>
      </c>
      <c r="J567" s="5"/>
      <c r="K567" s="5"/>
      <c r="L567" s="5"/>
      <c r="M567" s="5"/>
    </row>
    <row r="568" spans="2:13" x14ac:dyDescent="0.3"/>
    <row r="569" spans="2:13" x14ac:dyDescent="0.3"/>
  </sheetData>
  <sheetProtection algorithmName="SHA-512" hashValue="EuQGyLyTZ+r81v3RhNQQM8cxo/oLCdaQHcd3Y0LGUZAvcP6FcvQ81Jkl61so8q47aYkBJ2OcMXbC3HOjxdNfNw==" saltValue="nq7NKUBYjx+KPxHDqE6WfQ==" spinCount="100000" sheet="1" objects="1" scenarios="1"/>
  <protectedRanges>
    <protectedRange sqref="J15:M567 U15:X93 AR15:BF93 CA18:CO96" name="DHHS"/>
  </protectedRange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W250"/>
  <sheetViews>
    <sheetView showGridLines="0" topLeftCell="A88" zoomScale="85" zoomScaleNormal="85" workbookViewId="0">
      <selection activeCell="H94" sqref="H94"/>
    </sheetView>
  </sheetViews>
  <sheetFormatPr defaultColWidth="0" defaultRowHeight="14" zeroHeight="1" x14ac:dyDescent="0.3"/>
  <cols>
    <col min="1" max="1" width="21.3984375" bestFit="1" customWidth="1"/>
    <col min="2" max="2" width="10.59765625" bestFit="1" customWidth="1"/>
    <col min="3" max="7" width="10.59765625" customWidth="1"/>
    <col min="8" max="18" width="10" style="11" bestFit="1" customWidth="1"/>
    <col min="19" max="21" width="9.296875" style="11" bestFit="1" customWidth="1"/>
    <col min="22" max="23" width="9.09765625" customWidth="1"/>
    <col min="24" max="16384" width="9.09765625" hidden="1"/>
  </cols>
  <sheetData>
    <row r="1" spans="1:22" ht="16.5" x14ac:dyDescent="0.3">
      <c r="H1">
        <f>baseline</f>
        <v>2017</v>
      </c>
      <c r="I1">
        <f>H1+1</f>
        <v>2018</v>
      </c>
      <c r="J1">
        <f t="shared" ref="J1:V1" si="0">I1+1</f>
        <v>2019</v>
      </c>
      <c r="K1">
        <f t="shared" si="0"/>
        <v>2020</v>
      </c>
      <c r="L1">
        <f t="shared" si="0"/>
        <v>2021</v>
      </c>
      <c r="M1">
        <f t="shared" si="0"/>
        <v>2022</v>
      </c>
      <c r="N1">
        <f t="shared" si="0"/>
        <v>2023</v>
      </c>
      <c r="O1">
        <f t="shared" si="0"/>
        <v>2024</v>
      </c>
      <c r="P1">
        <f t="shared" si="0"/>
        <v>2025</v>
      </c>
      <c r="Q1">
        <f t="shared" si="0"/>
        <v>2026</v>
      </c>
      <c r="R1">
        <f t="shared" si="0"/>
        <v>2027</v>
      </c>
      <c r="S1">
        <f t="shared" si="0"/>
        <v>2028</v>
      </c>
      <c r="T1">
        <f t="shared" si="0"/>
        <v>2029</v>
      </c>
      <c r="U1">
        <f t="shared" si="0"/>
        <v>2030</v>
      </c>
      <c r="V1">
        <f t="shared" si="0"/>
        <v>2031</v>
      </c>
    </row>
    <row r="2" spans="1:22" ht="16.5" x14ac:dyDescent="0.3">
      <c r="H2" s="19" t="str">
        <f>INDEX(Mapping!$B:$B,MATCH(H$1,Mapping!$C:$C,0))</f>
        <v>2017-18</v>
      </c>
      <c r="I2" s="19" t="str">
        <f>INDEX(Mapping!$B:$B,MATCH(I$1,Mapping!$C:$C,0))</f>
        <v>2018-19</v>
      </c>
      <c r="J2" s="19" t="str">
        <f>INDEX(Mapping!$B:$B,MATCH(J$1,Mapping!$C:$C,0))</f>
        <v>2019-20</v>
      </c>
      <c r="K2" s="19" t="str">
        <f>INDEX(Mapping!$B:$B,MATCH(K$1,Mapping!$C:$C,0))</f>
        <v>2020-21</v>
      </c>
      <c r="L2" s="19" t="str">
        <f>INDEX(Mapping!$B:$B,MATCH(L$1,Mapping!$C:$C,0))</f>
        <v>2021-22</v>
      </c>
      <c r="M2" s="19" t="str">
        <f>INDEX(Mapping!$B:$B,MATCH(M$1,Mapping!$C:$C,0))</f>
        <v>2022-23</v>
      </c>
      <c r="N2" s="19" t="str">
        <f>INDEX(Mapping!$B:$B,MATCH(N$1,Mapping!$C:$C,0))</f>
        <v>2023-24</v>
      </c>
      <c r="O2" s="19" t="str">
        <f>INDEX(Mapping!$B:$B,MATCH(O$1,Mapping!$C:$C,0))</f>
        <v>2024-25</v>
      </c>
      <c r="P2" s="19" t="str">
        <f>INDEX(Mapping!$B:$B,MATCH(P$1,Mapping!$C:$C,0))</f>
        <v>2025-26</v>
      </c>
      <c r="Q2" s="19" t="str">
        <f>INDEX(Mapping!$B:$B,MATCH(Q$1,Mapping!$C:$C,0))</f>
        <v>2026-27</v>
      </c>
      <c r="R2" s="19" t="str">
        <f>INDEX(Mapping!$B:$B,MATCH(R$1,Mapping!$C:$C,0))</f>
        <v>2027-28</v>
      </c>
      <c r="S2" s="19" t="str">
        <f>INDEX(Mapping!$B:$B,MATCH(S$1,Mapping!$C:$C,0))</f>
        <v>2028-29</v>
      </c>
      <c r="T2" s="19" t="str">
        <f>INDEX(Mapping!$B:$B,MATCH(T$1,Mapping!$C:$C,0))</f>
        <v>2029-30</v>
      </c>
      <c r="U2" s="19" t="str">
        <f>INDEX(Mapping!$B:$B,MATCH(U$1,Mapping!$C:$C,0))</f>
        <v>2030-31</v>
      </c>
      <c r="V2" s="19" t="str">
        <f>INDEX(Mapping!$B:$B,MATCH(V$1,Mapping!$C:$C,0))</f>
        <v>2031-32</v>
      </c>
    </row>
    <row r="3" spans="1:22" ht="16.5" x14ac:dyDescent="0.3"/>
    <row r="4" spans="1:22" ht="20.25" thickBot="1" x14ac:dyDescent="0.35">
      <c r="A4" s="1" t="s">
        <v>416</v>
      </c>
    </row>
    <row r="5" spans="1:22" ht="17.25" thickTop="1" x14ac:dyDescent="0.3"/>
    <row r="6" spans="1:22" ht="16.5" x14ac:dyDescent="0.3">
      <c r="A6" t="s">
        <v>111</v>
      </c>
      <c r="B6" t="s">
        <v>3</v>
      </c>
      <c r="C6" t="s">
        <v>221</v>
      </c>
      <c r="F6" s="17"/>
      <c r="H6" s="110">
        <v>1.2000000000000002</v>
      </c>
      <c r="I6" s="110">
        <v>1.2000000000000002</v>
      </c>
      <c r="J6" s="110">
        <v>1.2000000000000002</v>
      </c>
      <c r="K6" s="110">
        <v>1.2000000000000002</v>
      </c>
      <c r="L6" s="110">
        <v>1.2000000000000002</v>
      </c>
      <c r="M6" s="110">
        <v>1.2000000000000002</v>
      </c>
      <c r="N6" s="110">
        <v>1.2000000000000002</v>
      </c>
      <c r="O6" s="110">
        <v>1.2000000000000002</v>
      </c>
      <c r="P6" s="110">
        <v>1.2000000000000002</v>
      </c>
      <c r="Q6" s="110">
        <v>1.2000000000000002</v>
      </c>
      <c r="R6" s="110">
        <v>1.2000000000000002</v>
      </c>
      <c r="S6" s="110">
        <v>1.2000000000000002</v>
      </c>
      <c r="T6" s="110">
        <v>1.2000000000000002</v>
      </c>
      <c r="U6" s="110">
        <v>1.2000000000000002</v>
      </c>
      <c r="V6" s="110">
        <v>1.2000000000000002</v>
      </c>
    </row>
    <row r="7" spans="1:22" ht="16.5" x14ac:dyDescent="0.3">
      <c r="A7" t="s">
        <v>163</v>
      </c>
      <c r="B7" t="s">
        <v>56</v>
      </c>
      <c r="C7" t="s">
        <v>221</v>
      </c>
      <c r="F7" s="17"/>
      <c r="H7" s="110">
        <v>1.5</v>
      </c>
      <c r="I7" s="110">
        <v>1.5</v>
      </c>
      <c r="J7" s="110">
        <v>1.5</v>
      </c>
      <c r="K7" s="110">
        <v>1.5</v>
      </c>
      <c r="L7" s="110">
        <v>1.5</v>
      </c>
      <c r="M7" s="110">
        <v>1.5</v>
      </c>
      <c r="N7" s="110">
        <v>1.5</v>
      </c>
      <c r="O7" s="110">
        <v>1.5</v>
      </c>
      <c r="P7" s="110">
        <v>1.5</v>
      </c>
      <c r="Q7" s="110">
        <v>1.5</v>
      </c>
      <c r="R7" s="110">
        <v>1.5</v>
      </c>
      <c r="S7" s="110">
        <v>1.5</v>
      </c>
      <c r="T7" s="110">
        <v>1.5</v>
      </c>
      <c r="U7" s="110">
        <v>1.5</v>
      </c>
      <c r="V7" s="110">
        <v>1.5</v>
      </c>
    </row>
    <row r="8" spans="1:22" ht="16.5" x14ac:dyDescent="0.3">
      <c r="A8" t="s">
        <v>164</v>
      </c>
      <c r="B8" t="s">
        <v>56</v>
      </c>
      <c r="C8" t="s">
        <v>221</v>
      </c>
      <c r="F8" s="17"/>
      <c r="H8" s="110">
        <v>10.4</v>
      </c>
      <c r="I8" s="110">
        <v>10.4</v>
      </c>
      <c r="J8" s="110">
        <v>10.4</v>
      </c>
      <c r="K8" s="110">
        <v>10.4</v>
      </c>
      <c r="L8" s="110">
        <v>10.4</v>
      </c>
      <c r="M8" s="110">
        <v>10.4</v>
      </c>
      <c r="N8" s="110">
        <v>10.4</v>
      </c>
      <c r="O8" s="110">
        <v>10.4</v>
      </c>
      <c r="P8" s="110">
        <v>10.4</v>
      </c>
      <c r="Q8" s="110">
        <v>10.4</v>
      </c>
      <c r="R8" s="110">
        <v>10.4</v>
      </c>
      <c r="S8" s="110">
        <v>10.4</v>
      </c>
      <c r="T8" s="110">
        <v>10.4</v>
      </c>
      <c r="U8" s="110">
        <v>10.4</v>
      </c>
      <c r="V8" s="110">
        <v>10.4</v>
      </c>
    </row>
    <row r="9" spans="1:22" ht="16.5" x14ac:dyDescent="0.3">
      <c r="A9" t="s">
        <v>130</v>
      </c>
      <c r="B9" t="s">
        <v>23</v>
      </c>
      <c r="C9" t="s">
        <v>222</v>
      </c>
      <c r="F9" s="17"/>
      <c r="H9" s="110">
        <v>13.7</v>
      </c>
      <c r="I9" s="110">
        <v>13.869402087179976</v>
      </c>
      <c r="J9" s="110">
        <v>14.038804174359955</v>
      </c>
      <c r="K9" s="110">
        <v>14.208206261539928</v>
      </c>
      <c r="L9" s="110">
        <v>14.377608348719907</v>
      </c>
      <c r="M9" s="110">
        <v>14.724838129550351</v>
      </c>
      <c r="N9" s="110">
        <v>15.072067910380799</v>
      </c>
      <c r="O9" s="110">
        <v>15.411317108686973</v>
      </c>
      <c r="P9" s="110">
        <v>15.74258572446888</v>
      </c>
      <c r="Q9" s="110">
        <v>16.065873757726511</v>
      </c>
      <c r="R9" s="110">
        <v>16.388884935260613</v>
      </c>
      <c r="S9" s="110">
        <v>16.703915530270439</v>
      </c>
      <c r="T9" s="110">
        <v>17.010965542755997</v>
      </c>
      <c r="U9" s="110">
        <v>17.310034972717283</v>
      </c>
      <c r="V9" s="110">
        <v>17.601123820154299</v>
      </c>
    </row>
    <row r="10" spans="1:22" ht="16.5" x14ac:dyDescent="0.3">
      <c r="A10" t="s">
        <v>147</v>
      </c>
      <c r="B10" t="s">
        <v>41</v>
      </c>
      <c r="C10" t="s">
        <v>221</v>
      </c>
      <c r="F10" s="17"/>
      <c r="H10" s="110">
        <v>2.9</v>
      </c>
      <c r="I10" s="110">
        <v>2.9</v>
      </c>
      <c r="J10" s="110">
        <v>2.9</v>
      </c>
      <c r="K10" s="110">
        <v>2.9</v>
      </c>
      <c r="L10" s="110">
        <v>2.9</v>
      </c>
      <c r="M10" s="110">
        <v>2.9</v>
      </c>
      <c r="N10" s="110">
        <v>2.9</v>
      </c>
      <c r="O10" s="110">
        <v>2.9</v>
      </c>
      <c r="P10" s="110">
        <v>2.9</v>
      </c>
      <c r="Q10" s="110">
        <v>2.9</v>
      </c>
      <c r="R10" s="110">
        <v>2.9</v>
      </c>
      <c r="S10" s="110">
        <v>2.9</v>
      </c>
      <c r="T10" s="110">
        <v>2.9</v>
      </c>
      <c r="U10" s="110">
        <v>2.9</v>
      </c>
      <c r="V10" s="110">
        <v>2.9</v>
      </c>
    </row>
    <row r="11" spans="1:22" ht="16.5" x14ac:dyDescent="0.3">
      <c r="A11" t="s">
        <v>148</v>
      </c>
      <c r="B11" t="s">
        <v>41</v>
      </c>
      <c r="C11" t="s">
        <v>221</v>
      </c>
      <c r="F11" s="17"/>
      <c r="H11" s="110">
        <v>5.75</v>
      </c>
      <c r="I11" s="110">
        <v>5.75</v>
      </c>
      <c r="J11" s="110">
        <v>5.75</v>
      </c>
      <c r="K11" s="110">
        <v>5.75</v>
      </c>
      <c r="L11" s="110">
        <v>5.75</v>
      </c>
      <c r="M11" s="110">
        <v>5.75</v>
      </c>
      <c r="N11" s="110">
        <v>5.75</v>
      </c>
      <c r="O11" s="110">
        <v>5.75</v>
      </c>
      <c r="P11" s="110">
        <v>5.75</v>
      </c>
      <c r="Q11" s="110">
        <v>5.75</v>
      </c>
      <c r="R11" s="110">
        <v>5.75</v>
      </c>
      <c r="S11" s="110">
        <v>5.75</v>
      </c>
      <c r="T11" s="110">
        <v>5.75</v>
      </c>
      <c r="U11" s="110">
        <v>5.75</v>
      </c>
      <c r="V11" s="110">
        <v>5.75</v>
      </c>
    </row>
    <row r="12" spans="1:22" ht="16.5" x14ac:dyDescent="0.3">
      <c r="A12" t="s">
        <v>149</v>
      </c>
      <c r="B12" t="s">
        <v>41</v>
      </c>
      <c r="C12" t="s">
        <v>222</v>
      </c>
      <c r="F12" s="17"/>
      <c r="H12" s="110">
        <v>9.6</v>
      </c>
      <c r="I12" s="110">
        <v>9.7187051121845087</v>
      </c>
      <c r="J12" s="110">
        <v>9.8374102243690196</v>
      </c>
      <c r="K12" s="110">
        <v>9.9561153365535269</v>
      </c>
      <c r="L12" s="110">
        <v>10.074820448738038</v>
      </c>
      <c r="M12" s="110">
        <v>10.318134747714115</v>
      </c>
      <c r="N12" s="110">
        <v>10.561449046690196</v>
      </c>
      <c r="O12" s="110">
        <v>10.799171112656566</v>
      </c>
      <c r="P12" s="110">
        <v>11.03130094561323</v>
      </c>
      <c r="Q12" s="110">
        <v>11.257838545560183</v>
      </c>
      <c r="R12" s="110">
        <v>11.484182144416197</v>
      </c>
      <c r="S12" s="110">
        <v>11.704933510262499</v>
      </c>
      <c r="T12" s="110">
        <v>11.920092643099094</v>
      </c>
      <c r="U12" s="110">
        <v>12.129659542925982</v>
      </c>
      <c r="V12" s="110">
        <v>12.33363420974316</v>
      </c>
    </row>
    <row r="13" spans="1:22" ht="16.5" x14ac:dyDescent="0.3">
      <c r="A13" t="s">
        <v>112</v>
      </c>
      <c r="B13" t="s">
        <v>3</v>
      </c>
      <c r="C13" t="s">
        <v>221</v>
      </c>
      <c r="F13" s="17"/>
      <c r="H13" s="110">
        <v>2</v>
      </c>
      <c r="I13" s="110">
        <v>2</v>
      </c>
      <c r="J13" s="110">
        <v>2</v>
      </c>
      <c r="K13" s="110">
        <v>2</v>
      </c>
      <c r="L13" s="110">
        <v>2</v>
      </c>
      <c r="M13" s="110">
        <v>2</v>
      </c>
      <c r="N13" s="110">
        <v>2</v>
      </c>
      <c r="O13" s="110">
        <v>2</v>
      </c>
      <c r="P13" s="110">
        <v>2</v>
      </c>
      <c r="Q13" s="110">
        <v>2</v>
      </c>
      <c r="R13" s="110">
        <v>2</v>
      </c>
      <c r="S13" s="110">
        <v>2</v>
      </c>
      <c r="T13" s="110">
        <v>2</v>
      </c>
      <c r="U13" s="110">
        <v>2</v>
      </c>
      <c r="V13" s="110">
        <v>2</v>
      </c>
    </row>
    <row r="14" spans="1:22" ht="16.5" x14ac:dyDescent="0.3">
      <c r="A14" t="s">
        <v>113</v>
      </c>
      <c r="B14" t="s">
        <v>3</v>
      </c>
      <c r="C14" t="s">
        <v>222</v>
      </c>
      <c r="F14" s="17"/>
      <c r="H14" s="110">
        <v>11.6</v>
      </c>
      <c r="I14" s="110">
        <v>11.743435343889615</v>
      </c>
      <c r="J14" s="110">
        <v>11.886870687779233</v>
      </c>
      <c r="K14" s="110">
        <v>12.030306031668845</v>
      </c>
      <c r="L14" s="110">
        <v>12.173741375558462</v>
      </c>
      <c r="M14" s="110">
        <v>12.467746153487889</v>
      </c>
      <c r="N14" s="110">
        <v>12.761750931417319</v>
      </c>
      <c r="O14" s="110">
        <v>13.04899842779335</v>
      </c>
      <c r="P14" s="110">
        <v>13.329488642615987</v>
      </c>
      <c r="Q14" s="110">
        <v>13.603221575885222</v>
      </c>
      <c r="R14" s="110">
        <v>13.87672009116957</v>
      </c>
      <c r="S14" s="110">
        <v>14.143461324900517</v>
      </c>
      <c r="T14" s="110">
        <v>14.403445277078069</v>
      </c>
      <c r="U14" s="110">
        <v>14.656671947702224</v>
      </c>
      <c r="V14" s="110">
        <v>14.903141336772981</v>
      </c>
    </row>
    <row r="15" spans="1:22" ht="16.5" x14ac:dyDescent="0.3">
      <c r="A15" t="s">
        <v>165</v>
      </c>
      <c r="B15" t="s">
        <v>56</v>
      </c>
      <c r="C15" t="s">
        <v>222</v>
      </c>
      <c r="F15" s="17"/>
      <c r="H15" s="110">
        <v>22.639999999999997</v>
      </c>
      <c r="I15" s="110">
        <v>22.9199462229018</v>
      </c>
      <c r="J15" s="110">
        <v>23.199892445803606</v>
      </c>
      <c r="K15" s="110">
        <v>23.479838668705401</v>
      </c>
      <c r="L15" s="110">
        <v>23.759784891607204</v>
      </c>
      <c r="M15" s="110">
        <v>24.333601113359119</v>
      </c>
      <c r="N15" s="110">
        <v>24.907417335111042</v>
      </c>
      <c r="O15" s="110">
        <v>25.4680452073484</v>
      </c>
      <c r="P15" s="110">
        <v>26.015484730071201</v>
      </c>
      <c r="Q15" s="110">
        <v>26.549735903279434</v>
      </c>
      <c r="R15" s="110">
        <v>27.083529557248198</v>
      </c>
      <c r="S15" s="110">
        <v>27.604134861702395</v>
      </c>
      <c r="T15" s="110">
        <v>28.111551816642031</v>
      </c>
      <c r="U15" s="110">
        <v>28.605780422067106</v>
      </c>
      <c r="V15" s="110">
        <v>29.08682067797762</v>
      </c>
    </row>
    <row r="16" spans="1:22" ht="16.5" x14ac:dyDescent="0.3">
      <c r="A16" t="s">
        <v>131</v>
      </c>
      <c r="B16" t="s">
        <v>23</v>
      </c>
      <c r="C16" t="s">
        <v>221</v>
      </c>
      <c r="F16" s="17"/>
      <c r="H16" s="110">
        <v>2</v>
      </c>
      <c r="I16" s="110">
        <v>2</v>
      </c>
      <c r="J16" s="110">
        <v>2</v>
      </c>
      <c r="K16" s="110">
        <v>2</v>
      </c>
      <c r="L16" s="110">
        <v>2</v>
      </c>
      <c r="M16" s="110">
        <v>2</v>
      </c>
      <c r="N16" s="110">
        <v>2</v>
      </c>
      <c r="O16" s="110">
        <v>2</v>
      </c>
      <c r="P16" s="110">
        <v>2</v>
      </c>
      <c r="Q16" s="110">
        <v>2</v>
      </c>
      <c r="R16" s="110">
        <v>2</v>
      </c>
      <c r="S16" s="110">
        <v>2</v>
      </c>
      <c r="T16" s="110">
        <v>2</v>
      </c>
      <c r="U16" s="110">
        <v>2</v>
      </c>
      <c r="V16" s="110">
        <v>2</v>
      </c>
    </row>
    <row r="17" spans="1:22" ht="16.5" x14ac:dyDescent="0.3">
      <c r="A17" t="s">
        <v>132</v>
      </c>
      <c r="B17" t="s">
        <v>23</v>
      </c>
      <c r="C17" t="s">
        <v>221</v>
      </c>
      <c r="F17" s="17"/>
      <c r="H17" s="110">
        <v>4.2300000000000004</v>
      </c>
      <c r="I17" s="110">
        <v>4.2300000000000004</v>
      </c>
      <c r="J17" s="110">
        <v>4.2300000000000004</v>
      </c>
      <c r="K17" s="110">
        <v>4.2300000000000004</v>
      </c>
      <c r="L17" s="110">
        <v>4.2300000000000004</v>
      </c>
      <c r="M17" s="110">
        <v>4.2300000000000004</v>
      </c>
      <c r="N17" s="110">
        <v>4.2300000000000004</v>
      </c>
      <c r="O17" s="110">
        <v>4.2300000000000004</v>
      </c>
      <c r="P17" s="110">
        <v>4.2300000000000004</v>
      </c>
      <c r="Q17" s="110">
        <v>4.2300000000000004</v>
      </c>
      <c r="R17" s="110">
        <v>4.2300000000000004</v>
      </c>
      <c r="S17" s="110">
        <v>4.2300000000000004</v>
      </c>
      <c r="T17" s="110">
        <v>4.2300000000000004</v>
      </c>
      <c r="U17" s="110">
        <v>4.2300000000000004</v>
      </c>
      <c r="V17" s="110">
        <v>4.2300000000000004</v>
      </c>
    </row>
    <row r="18" spans="1:22" ht="16.5" x14ac:dyDescent="0.3">
      <c r="A18" t="s">
        <v>150</v>
      </c>
      <c r="B18" t="s">
        <v>41</v>
      </c>
      <c r="C18" t="s">
        <v>224</v>
      </c>
      <c r="F18" s="17"/>
      <c r="H18" s="110">
        <v>11.7</v>
      </c>
      <c r="I18" s="110">
        <v>11.84467185547487</v>
      </c>
      <c r="J18" s="110">
        <v>11.989343710949742</v>
      </c>
      <c r="K18" s="110">
        <v>12.13401556642461</v>
      </c>
      <c r="L18" s="110">
        <v>12.278687421899482</v>
      </c>
      <c r="M18" s="110">
        <v>12.575226723776575</v>
      </c>
      <c r="N18" s="110">
        <v>12.871766025653674</v>
      </c>
      <c r="O18" s="110">
        <v>13.161489793550189</v>
      </c>
      <c r="P18" s="110">
        <v>13.444398027466123</v>
      </c>
      <c r="Q18" s="110">
        <v>13.720490727401472</v>
      </c>
      <c r="R18" s="110">
        <v>13.996346988507238</v>
      </c>
      <c r="S18" s="110">
        <v>14.265387715632418</v>
      </c>
      <c r="T18" s="110">
        <v>14.527612908777018</v>
      </c>
      <c r="U18" s="110">
        <v>14.783022567941035</v>
      </c>
      <c r="V18" s="110">
        <v>15.031616693124471</v>
      </c>
    </row>
    <row r="19" spans="1:22" ht="16.5" x14ac:dyDescent="0.3">
      <c r="A19" t="s">
        <v>151</v>
      </c>
      <c r="B19" t="s">
        <v>41</v>
      </c>
      <c r="C19" t="s">
        <v>224</v>
      </c>
      <c r="F19" s="17"/>
      <c r="H19" s="110">
        <v>35.33</v>
      </c>
      <c r="I19" s="110">
        <v>35.766859543070701</v>
      </c>
      <c r="J19" s="110">
        <v>36.203719086141405</v>
      </c>
      <c r="K19" s="110">
        <v>36.640578629212094</v>
      </c>
      <c r="L19" s="110">
        <v>37.077438172282797</v>
      </c>
      <c r="M19" s="110">
        <v>37.972885482993718</v>
      </c>
      <c r="N19" s="110">
        <v>38.868332793704646</v>
      </c>
      <c r="O19" s="110">
        <v>39.743199521891299</v>
      </c>
      <c r="P19" s="110">
        <v>40.597485667553691</v>
      </c>
      <c r="Q19" s="110">
        <v>41.431191230691802</v>
      </c>
      <c r="R19" s="110">
        <v>42.264182829398358</v>
      </c>
      <c r="S19" s="110">
        <v>43.076593845580632</v>
      </c>
      <c r="T19" s="110">
        <v>43.868424279238639</v>
      </c>
      <c r="U19" s="110">
        <v>44.639674130372377</v>
      </c>
      <c r="V19" s="110">
        <v>45.390343398981848</v>
      </c>
    </row>
    <row r="20" spans="1:22" ht="16.5" x14ac:dyDescent="0.3">
      <c r="A20" t="s">
        <v>133</v>
      </c>
      <c r="B20" t="s">
        <v>23</v>
      </c>
      <c r="C20" t="s">
        <v>221</v>
      </c>
      <c r="F20" s="17"/>
      <c r="H20" s="110">
        <v>1.2</v>
      </c>
      <c r="I20" s="110">
        <v>1.2</v>
      </c>
      <c r="J20" s="110">
        <v>1.2</v>
      </c>
      <c r="K20" s="110">
        <v>1.2</v>
      </c>
      <c r="L20" s="110">
        <v>1.2</v>
      </c>
      <c r="M20" s="110">
        <v>1.2</v>
      </c>
      <c r="N20" s="110">
        <v>1.2</v>
      </c>
      <c r="O20" s="110">
        <v>1.2</v>
      </c>
      <c r="P20" s="110">
        <v>1.2</v>
      </c>
      <c r="Q20" s="110">
        <v>1.2</v>
      </c>
      <c r="R20" s="110">
        <v>1.2</v>
      </c>
      <c r="S20" s="110">
        <v>1.2</v>
      </c>
      <c r="T20" s="110">
        <v>1.2</v>
      </c>
      <c r="U20" s="110">
        <v>1.2</v>
      </c>
      <c r="V20" s="110">
        <v>1.2</v>
      </c>
    </row>
    <row r="21" spans="1:22" ht="16.5" x14ac:dyDescent="0.3">
      <c r="A21" t="s">
        <v>166</v>
      </c>
      <c r="B21" t="s">
        <v>56</v>
      </c>
      <c r="C21" t="s">
        <v>221</v>
      </c>
      <c r="F21" s="17"/>
      <c r="H21" s="110">
        <v>1.5</v>
      </c>
      <c r="I21" s="110">
        <v>1.5</v>
      </c>
      <c r="J21" s="110">
        <v>1.5</v>
      </c>
      <c r="K21" s="110">
        <v>1.5</v>
      </c>
      <c r="L21" s="110">
        <v>1.5</v>
      </c>
      <c r="M21" s="110">
        <v>1.5</v>
      </c>
      <c r="N21" s="110">
        <v>1.5</v>
      </c>
      <c r="O21" s="110">
        <v>1.5</v>
      </c>
      <c r="P21" s="110">
        <v>1.5</v>
      </c>
      <c r="Q21" s="110">
        <v>1.5</v>
      </c>
      <c r="R21" s="110">
        <v>1.5</v>
      </c>
      <c r="S21" s="110">
        <v>1.5</v>
      </c>
      <c r="T21" s="110">
        <v>1.5</v>
      </c>
      <c r="U21" s="110">
        <v>1.5</v>
      </c>
      <c r="V21" s="110">
        <v>1.5</v>
      </c>
    </row>
    <row r="22" spans="1:22" ht="16.5" x14ac:dyDescent="0.3">
      <c r="A22" t="s">
        <v>167</v>
      </c>
      <c r="B22" t="s">
        <v>56</v>
      </c>
      <c r="C22" t="s">
        <v>221</v>
      </c>
      <c r="F22" s="17"/>
      <c r="H22" s="110">
        <v>1.61</v>
      </c>
      <c r="I22" s="110">
        <v>1.61</v>
      </c>
      <c r="J22" s="110">
        <v>1.61</v>
      </c>
      <c r="K22" s="110">
        <v>1.61</v>
      </c>
      <c r="L22" s="110">
        <v>1.61</v>
      </c>
      <c r="M22" s="110">
        <v>1.61</v>
      </c>
      <c r="N22" s="110">
        <v>1.61</v>
      </c>
      <c r="O22" s="110">
        <v>1.61</v>
      </c>
      <c r="P22" s="110">
        <v>1.61</v>
      </c>
      <c r="Q22" s="110">
        <v>1.61</v>
      </c>
      <c r="R22" s="110">
        <v>1.61</v>
      </c>
      <c r="S22" s="110">
        <v>1.61</v>
      </c>
      <c r="T22" s="110">
        <v>1.61</v>
      </c>
      <c r="U22" s="110">
        <v>1.61</v>
      </c>
      <c r="V22" s="110">
        <v>1.61</v>
      </c>
    </row>
    <row r="23" spans="1:22" ht="16.5" x14ac:dyDescent="0.3">
      <c r="A23" t="s">
        <v>134</v>
      </c>
      <c r="B23" t="s">
        <v>23</v>
      </c>
      <c r="C23" t="s">
        <v>222</v>
      </c>
      <c r="F23" s="17"/>
      <c r="H23" s="110">
        <v>15.1</v>
      </c>
      <c r="I23" s="110">
        <v>15.286713249373552</v>
      </c>
      <c r="J23" s="110">
        <v>15.473426498747106</v>
      </c>
      <c r="K23" s="110">
        <v>15.660139748120653</v>
      </c>
      <c r="L23" s="110">
        <v>15.846852997494205</v>
      </c>
      <c r="M23" s="110">
        <v>16.229566113591993</v>
      </c>
      <c r="N23" s="110">
        <v>16.612279229689786</v>
      </c>
      <c r="O23" s="110">
        <v>16.986196229282722</v>
      </c>
      <c r="P23" s="110">
        <v>17.351317112370808</v>
      </c>
      <c r="Q23" s="110">
        <v>17.707641878954036</v>
      </c>
      <c r="R23" s="110">
        <v>18.063661497987972</v>
      </c>
      <c r="S23" s="110">
        <v>18.410885000517052</v>
      </c>
      <c r="T23" s="110">
        <v>18.749312386541277</v>
      </c>
      <c r="U23" s="110">
        <v>19.078943656060652</v>
      </c>
      <c r="V23" s="110">
        <v>19.399778809075173</v>
      </c>
    </row>
    <row r="24" spans="1:22" ht="16.5" x14ac:dyDescent="0.3">
      <c r="A24" t="s">
        <v>152</v>
      </c>
      <c r="B24" t="s">
        <v>41</v>
      </c>
      <c r="C24" t="s">
        <v>221</v>
      </c>
      <c r="F24" s="17"/>
      <c r="H24" s="110">
        <v>6.2</v>
      </c>
      <c r="I24" s="110">
        <v>6.2</v>
      </c>
      <c r="J24" s="110">
        <v>6.2</v>
      </c>
      <c r="K24" s="110">
        <v>6.2</v>
      </c>
      <c r="L24" s="110">
        <v>6.2</v>
      </c>
      <c r="M24" s="110">
        <v>6.2</v>
      </c>
      <c r="N24" s="110">
        <v>6.2</v>
      </c>
      <c r="O24" s="110">
        <v>6.2</v>
      </c>
      <c r="P24" s="110">
        <v>6.2</v>
      </c>
      <c r="Q24" s="110">
        <v>6.2</v>
      </c>
      <c r="R24" s="110">
        <v>6.2</v>
      </c>
      <c r="S24" s="110">
        <v>6.2</v>
      </c>
      <c r="T24" s="110">
        <v>6.2</v>
      </c>
      <c r="U24" s="110">
        <v>6.2</v>
      </c>
      <c r="V24" s="110">
        <v>6.2</v>
      </c>
    </row>
    <row r="25" spans="1:22" ht="16.5" x14ac:dyDescent="0.3">
      <c r="A25" t="s">
        <v>153</v>
      </c>
      <c r="B25" t="s">
        <v>41</v>
      </c>
      <c r="C25" t="s">
        <v>222</v>
      </c>
      <c r="F25" s="17"/>
      <c r="H25" s="110">
        <v>18.600000000000001</v>
      </c>
      <c r="I25" s="110">
        <v>18.829991154857488</v>
      </c>
      <c r="J25" s="110">
        <v>19.059982309714979</v>
      </c>
      <c r="K25" s="110">
        <v>19.289973464572462</v>
      </c>
      <c r="L25" s="110">
        <v>19.519964619429949</v>
      </c>
      <c r="M25" s="110">
        <v>19.991386073696098</v>
      </c>
      <c r="N25" s="110">
        <v>20.462807527962255</v>
      </c>
      <c r="O25" s="110">
        <v>20.923394030772098</v>
      </c>
      <c r="P25" s="110">
        <v>21.373145582125634</v>
      </c>
      <c r="Q25" s="110">
        <v>21.812062182022856</v>
      </c>
      <c r="R25" s="110">
        <v>22.250602904806382</v>
      </c>
      <c r="S25" s="110">
        <v>22.678308676133593</v>
      </c>
      <c r="T25" s="110">
        <v>23.095179496004494</v>
      </c>
      <c r="U25" s="110">
        <v>23.501215364419085</v>
      </c>
      <c r="V25" s="110">
        <v>23.89641628137737</v>
      </c>
    </row>
    <row r="26" spans="1:22" ht="16.5" x14ac:dyDescent="0.3">
      <c r="A26" t="s">
        <v>135</v>
      </c>
      <c r="B26" t="s">
        <v>23</v>
      </c>
      <c r="C26" t="s">
        <v>221</v>
      </c>
      <c r="F26" s="17"/>
      <c r="H26" s="110">
        <v>1.6</v>
      </c>
      <c r="I26" s="110">
        <v>1.6</v>
      </c>
      <c r="J26" s="110">
        <v>1.6</v>
      </c>
      <c r="K26" s="110">
        <v>1.6</v>
      </c>
      <c r="L26" s="110">
        <v>1.6</v>
      </c>
      <c r="M26" s="110">
        <v>1.6</v>
      </c>
      <c r="N26" s="110">
        <v>1.6</v>
      </c>
      <c r="O26" s="110">
        <v>1.6</v>
      </c>
      <c r="P26" s="110">
        <v>1.6</v>
      </c>
      <c r="Q26" s="110">
        <v>1.6</v>
      </c>
      <c r="R26" s="110">
        <v>1.6</v>
      </c>
      <c r="S26" s="110">
        <v>1.6</v>
      </c>
      <c r="T26" s="110">
        <v>1.6</v>
      </c>
      <c r="U26" s="110">
        <v>1.6</v>
      </c>
      <c r="V26" s="110">
        <v>1.6</v>
      </c>
    </row>
    <row r="27" spans="1:22" ht="16.5" x14ac:dyDescent="0.3">
      <c r="A27" t="s">
        <v>154</v>
      </c>
      <c r="B27" t="s">
        <v>41</v>
      </c>
      <c r="C27" t="s">
        <v>222</v>
      </c>
      <c r="F27" s="17"/>
      <c r="H27" s="110">
        <v>16</v>
      </c>
      <c r="I27" s="110">
        <v>16.197841853640849</v>
      </c>
      <c r="J27" s="110">
        <v>16.395683707281702</v>
      </c>
      <c r="K27" s="110">
        <v>16.593525560922547</v>
      </c>
      <c r="L27" s="110">
        <v>16.791367414563396</v>
      </c>
      <c r="M27" s="110">
        <v>17.196891246190191</v>
      </c>
      <c r="N27" s="110">
        <v>17.602415077816993</v>
      </c>
      <c r="O27" s="110">
        <v>17.998618521094276</v>
      </c>
      <c r="P27" s="110">
        <v>18.385501576022051</v>
      </c>
      <c r="Q27" s="110">
        <v>18.763064242600308</v>
      </c>
      <c r="R27" s="110">
        <v>19.140303574026998</v>
      </c>
      <c r="S27" s="110">
        <v>19.508222517104169</v>
      </c>
      <c r="T27" s="110">
        <v>19.866821071831826</v>
      </c>
      <c r="U27" s="110">
        <v>20.216099238209971</v>
      </c>
      <c r="V27" s="110">
        <v>20.556057016238601</v>
      </c>
    </row>
    <row r="28" spans="1:22" ht="16.5" x14ac:dyDescent="0.3">
      <c r="A28" t="s">
        <v>168</v>
      </c>
      <c r="B28" t="s">
        <v>56</v>
      </c>
      <c r="C28" t="s">
        <v>221</v>
      </c>
      <c r="F28" s="17"/>
      <c r="H28" s="110">
        <v>1.6</v>
      </c>
      <c r="I28" s="110">
        <v>1.6</v>
      </c>
      <c r="J28" s="110">
        <v>1.6</v>
      </c>
      <c r="K28" s="110">
        <v>1.6</v>
      </c>
      <c r="L28" s="110">
        <v>1.6</v>
      </c>
      <c r="M28" s="110">
        <v>1.6</v>
      </c>
      <c r="N28" s="110">
        <v>1.6</v>
      </c>
      <c r="O28" s="110">
        <v>1.6</v>
      </c>
      <c r="P28" s="110">
        <v>1.6</v>
      </c>
      <c r="Q28" s="110">
        <v>1.6</v>
      </c>
      <c r="R28" s="110">
        <v>1.6</v>
      </c>
      <c r="S28" s="110">
        <v>1.6</v>
      </c>
      <c r="T28" s="110">
        <v>1.6</v>
      </c>
      <c r="U28" s="110">
        <v>1.6</v>
      </c>
      <c r="V28" s="110">
        <v>1.6</v>
      </c>
    </row>
    <row r="29" spans="1:22" ht="16.5" x14ac:dyDescent="0.3">
      <c r="A29" t="s">
        <v>169</v>
      </c>
      <c r="B29" t="s">
        <v>56</v>
      </c>
      <c r="C29" t="s">
        <v>221</v>
      </c>
      <c r="F29" s="17"/>
      <c r="H29" s="110">
        <v>2</v>
      </c>
      <c r="I29" s="110">
        <v>2</v>
      </c>
      <c r="J29" s="110">
        <v>2</v>
      </c>
      <c r="K29" s="110">
        <v>2</v>
      </c>
      <c r="L29" s="110">
        <v>2</v>
      </c>
      <c r="M29" s="110">
        <v>2</v>
      </c>
      <c r="N29" s="110">
        <v>2</v>
      </c>
      <c r="O29" s="110">
        <v>2</v>
      </c>
      <c r="P29" s="110">
        <v>2</v>
      </c>
      <c r="Q29" s="110">
        <v>2</v>
      </c>
      <c r="R29" s="110">
        <v>2</v>
      </c>
      <c r="S29" s="110">
        <v>2</v>
      </c>
      <c r="T29" s="110">
        <v>2</v>
      </c>
      <c r="U29" s="110">
        <v>2</v>
      </c>
      <c r="V29" s="110">
        <v>2</v>
      </c>
    </row>
    <row r="30" spans="1:22" ht="16.5" x14ac:dyDescent="0.3">
      <c r="A30" t="s">
        <v>136</v>
      </c>
      <c r="B30" t="s">
        <v>23</v>
      </c>
      <c r="C30" t="s">
        <v>221</v>
      </c>
      <c r="F30" s="17"/>
      <c r="H30" s="110">
        <v>14.35</v>
      </c>
      <c r="I30" s="110">
        <v>14.35</v>
      </c>
      <c r="J30" s="110">
        <v>14.35</v>
      </c>
      <c r="K30" s="110">
        <v>14.35</v>
      </c>
      <c r="L30" s="110">
        <v>14.35</v>
      </c>
      <c r="M30" s="110">
        <v>14.35</v>
      </c>
      <c r="N30" s="110">
        <v>14.35</v>
      </c>
      <c r="O30" s="110">
        <v>14.35</v>
      </c>
      <c r="P30" s="110">
        <v>14.35</v>
      </c>
      <c r="Q30" s="110">
        <v>14.35</v>
      </c>
      <c r="R30" s="110">
        <v>14.35</v>
      </c>
      <c r="S30" s="110">
        <v>14.35</v>
      </c>
      <c r="T30" s="110">
        <v>14.35</v>
      </c>
      <c r="U30" s="110">
        <v>14.35</v>
      </c>
      <c r="V30" s="110">
        <v>14.35</v>
      </c>
    </row>
    <row r="31" spans="1:22" ht="16.5" x14ac:dyDescent="0.3">
      <c r="A31" t="s">
        <v>155</v>
      </c>
      <c r="B31" t="s">
        <v>41</v>
      </c>
      <c r="C31" t="s">
        <v>222</v>
      </c>
      <c r="F31" s="17"/>
      <c r="H31" s="110">
        <v>25.07</v>
      </c>
      <c r="I31" s="110">
        <v>25.379993454423506</v>
      </c>
      <c r="J31" s="110">
        <v>25.689986908847015</v>
      </c>
      <c r="K31" s="110">
        <v>25.999980363270513</v>
      </c>
      <c r="L31" s="110">
        <v>26.309973817694022</v>
      </c>
      <c r="M31" s="110">
        <v>26.945378971374257</v>
      </c>
      <c r="N31" s="110">
        <v>27.580784125054503</v>
      </c>
      <c r="O31" s="110">
        <v>28.201585395239597</v>
      </c>
      <c r="P31" s="110">
        <v>28.807782781929554</v>
      </c>
      <c r="Q31" s="110">
        <v>29.399376285124358</v>
      </c>
      <c r="R31" s="110">
        <v>29.990463162553549</v>
      </c>
      <c r="S31" s="110">
        <v>30.566946156487589</v>
      </c>
      <c r="T31" s="110">
        <v>31.128825266926487</v>
      </c>
      <c r="U31" s="110">
        <v>31.676100493870241</v>
      </c>
      <c r="V31" s="110">
        <v>32.208771837318849</v>
      </c>
    </row>
    <row r="32" spans="1:22" ht="16.5" x14ac:dyDescent="0.3">
      <c r="A32" t="s">
        <v>170</v>
      </c>
      <c r="B32" t="s">
        <v>56</v>
      </c>
      <c r="C32" t="s">
        <v>221</v>
      </c>
      <c r="F32" s="17"/>
      <c r="H32" s="110">
        <v>27.9</v>
      </c>
      <c r="I32" s="110">
        <v>27.9</v>
      </c>
      <c r="J32" s="110">
        <v>27.9</v>
      </c>
      <c r="K32" s="110">
        <v>27.9</v>
      </c>
      <c r="L32" s="110">
        <v>27.9</v>
      </c>
      <c r="M32" s="110">
        <v>27.9</v>
      </c>
      <c r="N32" s="110">
        <v>27.9</v>
      </c>
      <c r="O32" s="110">
        <v>27.9</v>
      </c>
      <c r="P32" s="110">
        <v>27.9</v>
      </c>
      <c r="Q32" s="110">
        <v>27.9</v>
      </c>
      <c r="R32" s="110">
        <v>27.9</v>
      </c>
      <c r="S32" s="110">
        <v>27.9</v>
      </c>
      <c r="T32" s="110">
        <v>27.9</v>
      </c>
      <c r="U32" s="110">
        <v>27.9</v>
      </c>
      <c r="V32" s="110">
        <v>27.9</v>
      </c>
    </row>
    <row r="33" spans="1:22" ht="16.5" x14ac:dyDescent="0.3">
      <c r="A33" t="s">
        <v>114</v>
      </c>
      <c r="B33" t="s">
        <v>3</v>
      </c>
      <c r="C33" t="s">
        <v>221</v>
      </c>
      <c r="F33" s="17"/>
      <c r="H33" s="110">
        <v>8.9699999999999989</v>
      </c>
      <c r="I33" s="110">
        <v>8.9699999999999989</v>
      </c>
      <c r="J33" s="110">
        <v>8.9699999999999989</v>
      </c>
      <c r="K33" s="110">
        <v>8.9699999999999989</v>
      </c>
      <c r="L33" s="110">
        <v>8.9699999999999989</v>
      </c>
      <c r="M33" s="110">
        <v>8.9699999999999989</v>
      </c>
      <c r="N33" s="110">
        <v>8.9699999999999989</v>
      </c>
      <c r="O33" s="110">
        <v>8.9699999999999989</v>
      </c>
      <c r="P33" s="110">
        <v>8.9699999999999989</v>
      </c>
      <c r="Q33" s="110">
        <v>8.9699999999999989</v>
      </c>
      <c r="R33" s="110">
        <v>8.9699999999999989</v>
      </c>
      <c r="S33" s="110">
        <v>8.9699999999999989</v>
      </c>
      <c r="T33" s="110">
        <v>8.9699999999999989</v>
      </c>
      <c r="U33" s="110">
        <v>8.9699999999999989</v>
      </c>
      <c r="V33" s="110">
        <v>8.9699999999999989</v>
      </c>
    </row>
    <row r="34" spans="1:22" ht="16.5" x14ac:dyDescent="0.3">
      <c r="A34" t="s">
        <v>171</v>
      </c>
      <c r="B34" t="s">
        <v>56</v>
      </c>
      <c r="C34" t="s">
        <v>221</v>
      </c>
      <c r="F34" s="17"/>
      <c r="H34" s="110">
        <v>1.5</v>
      </c>
      <c r="I34" s="110">
        <v>1.5</v>
      </c>
      <c r="J34" s="110">
        <v>1.5</v>
      </c>
      <c r="K34" s="110">
        <v>1.5</v>
      </c>
      <c r="L34" s="110">
        <v>1.5</v>
      </c>
      <c r="M34" s="110">
        <v>1.5</v>
      </c>
      <c r="N34" s="110">
        <v>1.5</v>
      </c>
      <c r="O34" s="110">
        <v>1.5</v>
      </c>
      <c r="P34" s="110">
        <v>1.5</v>
      </c>
      <c r="Q34" s="110">
        <v>1.5</v>
      </c>
      <c r="R34" s="110">
        <v>1.5</v>
      </c>
      <c r="S34" s="110">
        <v>1.5</v>
      </c>
      <c r="T34" s="110">
        <v>1.5</v>
      </c>
      <c r="U34" s="110">
        <v>1.5</v>
      </c>
      <c r="V34" s="110">
        <v>1.5</v>
      </c>
    </row>
    <row r="35" spans="1:22" ht="16.5" x14ac:dyDescent="0.3">
      <c r="A35" t="s">
        <v>172</v>
      </c>
      <c r="B35" t="s">
        <v>56</v>
      </c>
      <c r="C35" t="s">
        <v>221</v>
      </c>
      <c r="F35" s="17"/>
      <c r="H35" s="110">
        <v>0.8</v>
      </c>
      <c r="I35" s="110">
        <v>0.8</v>
      </c>
      <c r="J35" s="110">
        <v>0.8</v>
      </c>
      <c r="K35" s="110">
        <v>0.8</v>
      </c>
      <c r="L35" s="110">
        <v>0.8</v>
      </c>
      <c r="M35" s="110">
        <v>0.8</v>
      </c>
      <c r="N35" s="110">
        <v>0.8</v>
      </c>
      <c r="O35" s="110">
        <v>0.8</v>
      </c>
      <c r="P35" s="110">
        <v>0.8</v>
      </c>
      <c r="Q35" s="110">
        <v>0.8</v>
      </c>
      <c r="R35" s="110">
        <v>0.8</v>
      </c>
      <c r="S35" s="110">
        <v>0.8</v>
      </c>
      <c r="T35" s="110">
        <v>0.8</v>
      </c>
      <c r="U35" s="110">
        <v>0.8</v>
      </c>
      <c r="V35" s="110">
        <v>0.8</v>
      </c>
    </row>
    <row r="36" spans="1:22" ht="16.5" x14ac:dyDescent="0.3">
      <c r="A36" t="s">
        <v>173</v>
      </c>
      <c r="B36" t="s">
        <v>56</v>
      </c>
      <c r="C36" t="s">
        <v>222</v>
      </c>
      <c r="F36" s="17"/>
      <c r="H36" s="110">
        <v>12.2</v>
      </c>
      <c r="I36" s="110">
        <v>12.350854413401146</v>
      </c>
      <c r="J36" s="110">
        <v>12.501708826802295</v>
      </c>
      <c r="K36" s="110">
        <v>12.652563240203438</v>
      </c>
      <c r="L36" s="110">
        <v>12.803417653604587</v>
      </c>
      <c r="M36" s="110">
        <v>13.112629575220017</v>
      </c>
      <c r="N36" s="110">
        <v>13.421841496835453</v>
      </c>
      <c r="O36" s="110">
        <v>13.723946622334383</v>
      </c>
      <c r="P36" s="110">
        <v>14.018944951716811</v>
      </c>
      <c r="Q36" s="110">
        <v>14.306836484982732</v>
      </c>
      <c r="R36" s="110">
        <v>14.594481475195582</v>
      </c>
      <c r="S36" s="110">
        <v>14.875019669291925</v>
      </c>
      <c r="T36" s="110">
        <v>15.148451067271765</v>
      </c>
      <c r="U36" s="110">
        <v>15.4147756691351</v>
      </c>
      <c r="V36" s="110">
        <v>15.673993474881931</v>
      </c>
    </row>
    <row r="37" spans="1:22" ht="16.5" x14ac:dyDescent="0.3">
      <c r="A37" t="s">
        <v>174</v>
      </c>
      <c r="B37" t="s">
        <v>56</v>
      </c>
      <c r="C37" t="s">
        <v>221</v>
      </c>
      <c r="F37" s="17"/>
      <c r="H37" s="110">
        <v>2.7</v>
      </c>
      <c r="I37" s="110">
        <v>2.7</v>
      </c>
      <c r="J37" s="110">
        <v>2.7</v>
      </c>
      <c r="K37" s="110">
        <v>2.7</v>
      </c>
      <c r="L37" s="110">
        <v>2.7</v>
      </c>
      <c r="M37" s="110">
        <v>2.7</v>
      </c>
      <c r="N37" s="110">
        <v>2.7</v>
      </c>
      <c r="O37" s="110">
        <v>2.7</v>
      </c>
      <c r="P37" s="110">
        <v>2.7</v>
      </c>
      <c r="Q37" s="110">
        <v>2.7</v>
      </c>
      <c r="R37" s="110">
        <v>2.7</v>
      </c>
      <c r="S37" s="110">
        <v>2.7</v>
      </c>
      <c r="T37" s="110">
        <v>2.7</v>
      </c>
      <c r="U37" s="110">
        <v>2.7</v>
      </c>
      <c r="V37" s="110">
        <v>2.7</v>
      </c>
    </row>
    <row r="38" spans="1:22" ht="16.5" x14ac:dyDescent="0.3">
      <c r="A38" t="s">
        <v>137</v>
      </c>
      <c r="B38" t="s">
        <v>23</v>
      </c>
      <c r="C38" t="s">
        <v>224</v>
      </c>
      <c r="F38" s="17"/>
      <c r="H38" s="110">
        <v>24.59</v>
      </c>
      <c r="I38" s="110">
        <v>24.894058198814278</v>
      </c>
      <c r="J38" s="110">
        <v>25.198116397628564</v>
      </c>
      <c r="K38" s="110">
        <v>25.502174596442838</v>
      </c>
      <c r="L38" s="110">
        <v>25.80623279525712</v>
      </c>
      <c r="M38" s="110">
        <v>26.429472233988552</v>
      </c>
      <c r="N38" s="110">
        <v>27.052711672719994</v>
      </c>
      <c r="O38" s="110">
        <v>27.661626839606772</v>
      </c>
      <c r="P38" s="110">
        <v>28.256217734648896</v>
      </c>
      <c r="Q38" s="110">
        <v>28.836484357846352</v>
      </c>
      <c r="R38" s="110">
        <v>29.416254055332743</v>
      </c>
      <c r="S38" s="110">
        <v>29.98169948097447</v>
      </c>
      <c r="T38" s="110">
        <v>30.532820634771539</v>
      </c>
      <c r="U38" s="110">
        <v>31.069617516723948</v>
      </c>
      <c r="V38" s="110">
        <v>31.5920901268317</v>
      </c>
    </row>
    <row r="39" spans="1:22" ht="16.5" x14ac:dyDescent="0.3">
      <c r="A39" t="s">
        <v>115</v>
      </c>
      <c r="B39" t="s">
        <v>3</v>
      </c>
      <c r="C39" t="s">
        <v>221</v>
      </c>
      <c r="F39" s="17"/>
      <c r="H39" s="110">
        <v>1.52</v>
      </c>
      <c r="I39" s="110">
        <v>1.52</v>
      </c>
      <c r="J39" s="110">
        <v>1.52</v>
      </c>
      <c r="K39" s="110">
        <v>1.52</v>
      </c>
      <c r="L39" s="110">
        <v>1.52</v>
      </c>
      <c r="M39" s="110">
        <v>1.52</v>
      </c>
      <c r="N39" s="110">
        <v>1.52</v>
      </c>
      <c r="O39" s="110">
        <v>1.52</v>
      </c>
      <c r="P39" s="110">
        <v>1.52</v>
      </c>
      <c r="Q39" s="110">
        <v>1.52</v>
      </c>
      <c r="R39" s="110">
        <v>1.52</v>
      </c>
      <c r="S39" s="110">
        <v>1.52</v>
      </c>
      <c r="T39" s="110">
        <v>1.52</v>
      </c>
      <c r="U39" s="110">
        <v>1.52</v>
      </c>
      <c r="V39" s="110">
        <v>1.52</v>
      </c>
    </row>
    <row r="40" spans="1:22" ht="16.5" x14ac:dyDescent="0.3">
      <c r="A40" t="s">
        <v>156</v>
      </c>
      <c r="B40" t="s">
        <v>41</v>
      </c>
      <c r="C40" t="s">
        <v>222</v>
      </c>
      <c r="F40" s="17"/>
      <c r="H40" s="110">
        <v>16.2</v>
      </c>
      <c r="I40" s="110">
        <v>16.400314876811358</v>
      </c>
      <c r="J40" s="110">
        <v>16.600629753622719</v>
      </c>
      <c r="K40" s="110">
        <v>16.800944630434074</v>
      </c>
      <c r="L40" s="110">
        <v>17.001259507245436</v>
      </c>
      <c r="M40" s="110">
        <v>17.411852386767567</v>
      </c>
      <c r="N40" s="110">
        <v>17.822445266289705</v>
      </c>
      <c r="O40" s="110">
        <v>18.223601252607956</v>
      </c>
      <c r="P40" s="110">
        <v>18.615320345722328</v>
      </c>
      <c r="Q40" s="110">
        <v>18.997602545632812</v>
      </c>
      <c r="R40" s="110">
        <v>19.379557368702336</v>
      </c>
      <c r="S40" s="110">
        <v>19.75207529856797</v>
      </c>
      <c r="T40" s="110">
        <v>20.115156335229724</v>
      </c>
      <c r="U40" s="110">
        <v>20.468800478687594</v>
      </c>
      <c r="V40" s="110">
        <v>20.813007728941585</v>
      </c>
    </row>
    <row r="41" spans="1:22" ht="16.5" x14ac:dyDescent="0.3">
      <c r="A41" t="s">
        <v>116</v>
      </c>
      <c r="B41" t="s">
        <v>3</v>
      </c>
      <c r="C41" t="s">
        <v>222</v>
      </c>
      <c r="F41" s="17"/>
      <c r="H41" s="110">
        <v>16.559999999999999</v>
      </c>
      <c r="I41" s="110">
        <v>16.764766318518276</v>
      </c>
      <c r="J41" s="110">
        <v>16.969532637036558</v>
      </c>
      <c r="K41" s="110">
        <v>17.174298955554832</v>
      </c>
      <c r="L41" s="110">
        <v>17.379065274073113</v>
      </c>
      <c r="M41" s="110">
        <v>17.798782439806846</v>
      </c>
      <c r="N41" s="110">
        <v>18.218499605540586</v>
      </c>
      <c r="O41" s="110">
        <v>18.628570169332576</v>
      </c>
      <c r="P41" s="110">
        <v>19.028994131182824</v>
      </c>
      <c r="Q41" s="110">
        <v>19.419771491091318</v>
      </c>
      <c r="R41" s="110">
        <v>19.81021419911794</v>
      </c>
      <c r="S41" s="110">
        <v>20.191010305202809</v>
      </c>
      <c r="T41" s="110">
        <v>20.562159809345935</v>
      </c>
      <c r="U41" s="110">
        <v>20.923662711547315</v>
      </c>
      <c r="V41" s="110">
        <v>21.275519011806949</v>
      </c>
    </row>
    <row r="42" spans="1:22" ht="16.5" x14ac:dyDescent="0.3">
      <c r="A42" t="s">
        <v>157</v>
      </c>
      <c r="B42" t="s">
        <v>41</v>
      </c>
      <c r="C42" t="s">
        <v>221</v>
      </c>
      <c r="F42" s="17"/>
      <c r="H42" s="110">
        <v>7.8</v>
      </c>
      <c r="I42" s="110">
        <v>7.8</v>
      </c>
      <c r="J42" s="110">
        <v>7.8</v>
      </c>
      <c r="K42" s="110">
        <v>7.8</v>
      </c>
      <c r="L42" s="110">
        <v>7.8</v>
      </c>
      <c r="M42" s="110">
        <v>7.8</v>
      </c>
      <c r="N42" s="110">
        <v>7.8</v>
      </c>
      <c r="O42" s="110">
        <v>7.8</v>
      </c>
      <c r="P42" s="110">
        <v>7.8</v>
      </c>
      <c r="Q42" s="110">
        <v>7.8</v>
      </c>
      <c r="R42" s="110">
        <v>7.8</v>
      </c>
      <c r="S42" s="110">
        <v>7.8</v>
      </c>
      <c r="T42" s="110">
        <v>7.8</v>
      </c>
      <c r="U42" s="110">
        <v>7.8</v>
      </c>
      <c r="V42" s="110">
        <v>7.8</v>
      </c>
    </row>
    <row r="43" spans="1:22" ht="16.5" x14ac:dyDescent="0.3">
      <c r="A43" t="s">
        <v>138</v>
      </c>
      <c r="B43" t="s">
        <v>23</v>
      </c>
      <c r="C43" t="s">
        <v>221</v>
      </c>
      <c r="F43" s="17"/>
      <c r="H43" s="110">
        <v>1</v>
      </c>
      <c r="I43" s="110">
        <v>1</v>
      </c>
      <c r="J43" s="110">
        <v>1</v>
      </c>
      <c r="K43" s="110">
        <v>1</v>
      </c>
      <c r="L43" s="110">
        <v>1</v>
      </c>
      <c r="M43" s="110">
        <v>1</v>
      </c>
      <c r="N43" s="110">
        <v>1</v>
      </c>
      <c r="O43" s="110">
        <v>1</v>
      </c>
      <c r="P43" s="110">
        <v>1</v>
      </c>
      <c r="Q43" s="110">
        <v>1</v>
      </c>
      <c r="R43" s="110">
        <v>1</v>
      </c>
      <c r="S43" s="110">
        <v>1</v>
      </c>
      <c r="T43" s="110">
        <v>1</v>
      </c>
      <c r="U43" s="110">
        <v>1</v>
      </c>
      <c r="V43" s="110">
        <v>1</v>
      </c>
    </row>
    <row r="44" spans="1:22" ht="16.5" x14ac:dyDescent="0.3">
      <c r="A44" t="s">
        <v>139</v>
      </c>
      <c r="B44" t="s">
        <v>23</v>
      </c>
      <c r="C44" t="s">
        <v>221</v>
      </c>
      <c r="F44" s="17"/>
      <c r="H44" s="110">
        <v>5.2</v>
      </c>
      <c r="I44" s="110">
        <v>5.2</v>
      </c>
      <c r="J44" s="110">
        <v>5.2</v>
      </c>
      <c r="K44" s="110">
        <v>5.2</v>
      </c>
      <c r="L44" s="110">
        <v>5.2</v>
      </c>
      <c r="M44" s="110">
        <v>5.2</v>
      </c>
      <c r="N44" s="110">
        <v>5.2</v>
      </c>
      <c r="O44" s="110">
        <v>5.2</v>
      </c>
      <c r="P44" s="110">
        <v>5.2</v>
      </c>
      <c r="Q44" s="110">
        <v>5.2</v>
      </c>
      <c r="R44" s="110">
        <v>5.2</v>
      </c>
      <c r="S44" s="110">
        <v>5.2</v>
      </c>
      <c r="T44" s="110">
        <v>5.2</v>
      </c>
      <c r="U44" s="110">
        <v>5.2</v>
      </c>
      <c r="V44" s="110">
        <v>5.2</v>
      </c>
    </row>
    <row r="45" spans="1:22" ht="16.5" x14ac:dyDescent="0.3">
      <c r="A45" t="s">
        <v>117</v>
      </c>
      <c r="B45" t="s">
        <v>3</v>
      </c>
      <c r="C45" t="s">
        <v>222</v>
      </c>
      <c r="F45" s="17"/>
      <c r="H45" s="110">
        <v>8.1999999999999993</v>
      </c>
      <c r="I45" s="110">
        <v>8.3013939499909348</v>
      </c>
      <c r="J45" s="110">
        <v>8.4027878999818721</v>
      </c>
      <c r="K45" s="110">
        <v>8.5041818499728059</v>
      </c>
      <c r="L45" s="110">
        <v>8.6055757999637414</v>
      </c>
      <c r="M45" s="110">
        <v>8.8134067636724733</v>
      </c>
      <c r="N45" s="110">
        <v>9.0212377273812088</v>
      </c>
      <c r="O45" s="110">
        <v>9.2242919920608166</v>
      </c>
      <c r="P45" s="110">
        <v>9.4225695577113004</v>
      </c>
      <c r="Q45" s="110">
        <v>9.6160704243326567</v>
      </c>
      <c r="R45" s="110">
        <v>9.8094055816888339</v>
      </c>
      <c r="S45" s="110">
        <v>9.9979640400158836</v>
      </c>
      <c r="T45" s="110">
        <v>10.181745799313807</v>
      </c>
      <c r="U45" s="110">
        <v>10.360750859582605</v>
      </c>
      <c r="V45" s="110">
        <v>10.534979220822279</v>
      </c>
    </row>
    <row r="46" spans="1:22" ht="16.5" x14ac:dyDescent="0.3">
      <c r="A46" t="s">
        <v>118</v>
      </c>
      <c r="B46" t="s">
        <v>3</v>
      </c>
      <c r="C46" t="s">
        <v>221</v>
      </c>
      <c r="F46" s="17"/>
      <c r="H46" s="110">
        <v>1.03</v>
      </c>
      <c r="I46" s="110">
        <v>1.03</v>
      </c>
      <c r="J46" s="110">
        <v>1.03</v>
      </c>
      <c r="K46" s="110">
        <v>1.03</v>
      </c>
      <c r="L46" s="110">
        <v>1.03</v>
      </c>
      <c r="M46" s="110">
        <v>1.03</v>
      </c>
      <c r="N46" s="110">
        <v>1.03</v>
      </c>
      <c r="O46" s="110">
        <v>1.03</v>
      </c>
      <c r="P46" s="110">
        <v>1.03</v>
      </c>
      <c r="Q46" s="110">
        <v>1.03</v>
      </c>
      <c r="R46" s="110">
        <v>1.03</v>
      </c>
      <c r="S46" s="110">
        <v>1.03</v>
      </c>
      <c r="T46" s="110">
        <v>1.03</v>
      </c>
      <c r="U46" s="110">
        <v>1.03</v>
      </c>
      <c r="V46" s="110">
        <v>1.03</v>
      </c>
    </row>
    <row r="47" spans="1:22" ht="16.5" x14ac:dyDescent="0.3">
      <c r="A47" t="s">
        <v>175</v>
      </c>
      <c r="B47" t="s">
        <v>56</v>
      </c>
      <c r="C47" t="s">
        <v>222</v>
      </c>
      <c r="F47" s="17"/>
      <c r="H47" s="110">
        <v>12.8</v>
      </c>
      <c r="I47" s="110">
        <v>12.958273482912681</v>
      </c>
      <c r="J47" s="110">
        <v>13.116546965825362</v>
      </c>
      <c r="K47" s="110">
        <v>13.274820448738039</v>
      </c>
      <c r="L47" s="110">
        <v>13.433093931650719</v>
      </c>
      <c r="M47" s="110">
        <v>13.757512996952155</v>
      </c>
      <c r="N47" s="110">
        <v>14.081932062253596</v>
      </c>
      <c r="O47" s="110">
        <v>14.398894816875423</v>
      </c>
      <c r="P47" s="110">
        <v>14.708401260817642</v>
      </c>
      <c r="Q47" s="110">
        <v>15.010451394080246</v>
      </c>
      <c r="R47" s="110">
        <v>15.312242859221596</v>
      </c>
      <c r="S47" s="110">
        <v>15.606578013683333</v>
      </c>
      <c r="T47" s="110">
        <v>15.893456857465459</v>
      </c>
      <c r="U47" s="110">
        <v>16.172879390567974</v>
      </c>
      <c r="V47" s="110">
        <v>16.444845612990878</v>
      </c>
    </row>
    <row r="48" spans="1:22" ht="16.5" x14ac:dyDescent="0.3">
      <c r="A48" t="s">
        <v>119</v>
      </c>
      <c r="B48" t="s">
        <v>3</v>
      </c>
      <c r="C48" t="s">
        <v>222</v>
      </c>
      <c r="F48" s="17"/>
      <c r="H48" s="110">
        <v>12.799999999999999</v>
      </c>
      <c r="I48" s="110">
        <v>12.958273482912679</v>
      </c>
      <c r="J48" s="110">
        <v>13.116546965825361</v>
      </c>
      <c r="K48" s="110">
        <v>13.274820448738037</v>
      </c>
      <c r="L48" s="110">
        <v>13.433093931650717</v>
      </c>
      <c r="M48" s="110">
        <v>13.757512996952153</v>
      </c>
      <c r="N48" s="110">
        <v>14.081932062253594</v>
      </c>
      <c r="O48" s="110">
        <v>14.398894816875421</v>
      </c>
      <c r="P48" s="110">
        <v>14.70840126081764</v>
      </c>
      <c r="Q48" s="110">
        <v>15.010451394080244</v>
      </c>
      <c r="R48" s="110">
        <v>15.312242859221595</v>
      </c>
      <c r="S48" s="110">
        <v>15.606578013683331</v>
      </c>
      <c r="T48" s="110">
        <v>15.893456857465457</v>
      </c>
      <c r="U48" s="110">
        <v>16.172879390567974</v>
      </c>
      <c r="V48" s="110">
        <v>16.444845612990878</v>
      </c>
    </row>
    <row r="49" spans="1:22" ht="16.5" x14ac:dyDescent="0.3">
      <c r="A49" t="s">
        <v>176</v>
      </c>
      <c r="B49" t="s">
        <v>56</v>
      </c>
      <c r="C49" t="s">
        <v>222</v>
      </c>
      <c r="F49" s="17"/>
      <c r="H49" s="110">
        <v>17.8</v>
      </c>
      <c r="I49" s="110">
        <v>18.020099062175444</v>
      </c>
      <c r="J49" s="110">
        <v>18.24019812435089</v>
      </c>
      <c r="K49" s="110">
        <v>18.460297186526329</v>
      </c>
      <c r="L49" s="110">
        <v>18.680396248701776</v>
      </c>
      <c r="M49" s="110">
        <v>19.131541511386587</v>
      </c>
      <c r="N49" s="110">
        <v>19.582686774071405</v>
      </c>
      <c r="O49" s="110">
        <v>20.023463104717383</v>
      </c>
      <c r="P49" s="110">
        <v>20.453870503324531</v>
      </c>
      <c r="Q49" s="110">
        <v>20.873908969892842</v>
      </c>
      <c r="R49" s="110">
        <v>21.293587726105034</v>
      </c>
      <c r="S49" s="110">
        <v>21.702897550278387</v>
      </c>
      <c r="T49" s="110">
        <v>22.101838442412905</v>
      </c>
      <c r="U49" s="110">
        <v>22.490410402508591</v>
      </c>
      <c r="V49" s="110">
        <v>22.868613430565443</v>
      </c>
    </row>
    <row r="50" spans="1:22" ht="16.5" x14ac:dyDescent="0.3">
      <c r="A50" t="s">
        <v>177</v>
      </c>
      <c r="B50" t="s">
        <v>56</v>
      </c>
      <c r="C50" t="s">
        <v>224</v>
      </c>
      <c r="F50" s="17"/>
      <c r="H50" s="110">
        <v>21.470000000000002</v>
      </c>
      <c r="I50" s="110">
        <v>21.735479037354317</v>
      </c>
      <c r="J50" s="110">
        <v>22.000958074708635</v>
      </c>
      <c r="K50" s="110">
        <v>22.266437112062942</v>
      </c>
      <c r="L50" s="110">
        <v>22.53191614941726</v>
      </c>
      <c r="M50" s="110">
        <v>23.076078440981465</v>
      </c>
      <c r="N50" s="110">
        <v>23.620240732545678</v>
      </c>
      <c r="O50" s="110">
        <v>24.151896227993383</v>
      </c>
      <c r="P50" s="110">
        <v>24.671044927324591</v>
      </c>
      <c r="Q50" s="110">
        <v>25.177686830539287</v>
      </c>
      <c r="R50" s="110">
        <v>25.683894858397476</v>
      </c>
      <c r="S50" s="110">
        <v>26.177596090139154</v>
      </c>
      <c r="T50" s="110">
        <v>26.658790525764331</v>
      </c>
      <c r="U50" s="110">
        <v>27.127478165273004</v>
      </c>
      <c r="V50" s="110">
        <v>27.583659008665173</v>
      </c>
    </row>
    <row r="51" spans="1:22" ht="16.5" x14ac:dyDescent="0.3">
      <c r="A51" t="s">
        <v>140</v>
      </c>
      <c r="B51" t="s">
        <v>23</v>
      </c>
      <c r="C51" t="s">
        <v>221</v>
      </c>
      <c r="F51" s="17"/>
      <c r="H51" s="110">
        <v>8.2999999999999989</v>
      </c>
      <c r="I51" s="110">
        <v>8.2999999999999989</v>
      </c>
      <c r="J51" s="110">
        <v>8.2999999999999989</v>
      </c>
      <c r="K51" s="110">
        <v>8.2999999999999989</v>
      </c>
      <c r="L51" s="110">
        <v>8.2999999999999989</v>
      </c>
      <c r="M51" s="110">
        <v>8.2999999999999989</v>
      </c>
      <c r="N51" s="110">
        <v>8.2999999999999989</v>
      </c>
      <c r="O51" s="110">
        <v>8.2999999999999989</v>
      </c>
      <c r="P51" s="110">
        <v>8.2999999999999989</v>
      </c>
      <c r="Q51" s="110">
        <v>8.2999999999999989</v>
      </c>
      <c r="R51" s="110">
        <v>8.2999999999999989</v>
      </c>
      <c r="S51" s="110">
        <v>8.2999999999999989</v>
      </c>
      <c r="T51" s="110">
        <v>8.2999999999999989</v>
      </c>
      <c r="U51" s="110">
        <v>8.2999999999999989</v>
      </c>
      <c r="V51" s="110">
        <v>8.2999999999999989</v>
      </c>
    </row>
    <row r="52" spans="1:22" ht="16.5" x14ac:dyDescent="0.3">
      <c r="A52" t="s">
        <v>120</v>
      </c>
      <c r="B52" t="s">
        <v>3</v>
      </c>
      <c r="C52" t="s">
        <v>224</v>
      </c>
      <c r="F52" s="17"/>
      <c r="H52" s="110">
        <v>5.1999999999999993</v>
      </c>
      <c r="I52" s="110">
        <v>5.264298602433275</v>
      </c>
      <c r="J52" s="110">
        <v>5.3285972048665515</v>
      </c>
      <c r="K52" s="110">
        <v>5.3928958072998263</v>
      </c>
      <c r="L52" s="110">
        <v>5.4571944097331029</v>
      </c>
      <c r="M52" s="110">
        <v>5.5889896550118117</v>
      </c>
      <c r="N52" s="110">
        <v>5.7207849002905222</v>
      </c>
      <c r="O52" s="110">
        <v>5.8495510193556397</v>
      </c>
      <c r="P52" s="110">
        <v>5.9752880122071659</v>
      </c>
      <c r="Q52" s="110">
        <v>6.097995878845099</v>
      </c>
      <c r="R52" s="110">
        <v>6.2205986615587729</v>
      </c>
      <c r="S52" s="110">
        <v>6.340172318058853</v>
      </c>
      <c r="T52" s="110">
        <v>6.4567168483453417</v>
      </c>
      <c r="U52" s="110">
        <v>6.5702322524182382</v>
      </c>
      <c r="V52" s="110">
        <v>6.6807185302775434</v>
      </c>
    </row>
    <row r="53" spans="1:22" ht="16.5" x14ac:dyDescent="0.3">
      <c r="A53" t="s">
        <v>121</v>
      </c>
      <c r="B53" t="s">
        <v>3</v>
      </c>
      <c r="C53" t="s">
        <v>221</v>
      </c>
      <c r="F53" s="17"/>
      <c r="H53" s="110">
        <v>3.7</v>
      </c>
      <c r="I53" s="110">
        <v>3.7</v>
      </c>
      <c r="J53" s="110">
        <v>3.7</v>
      </c>
      <c r="K53" s="110">
        <v>3.7</v>
      </c>
      <c r="L53" s="110">
        <v>3.7</v>
      </c>
      <c r="M53" s="110">
        <v>3.7</v>
      </c>
      <c r="N53" s="110">
        <v>3.7</v>
      </c>
      <c r="O53" s="110">
        <v>3.7</v>
      </c>
      <c r="P53" s="110">
        <v>3.7</v>
      </c>
      <c r="Q53" s="110">
        <v>3.7</v>
      </c>
      <c r="R53" s="110">
        <v>3.7</v>
      </c>
      <c r="S53" s="110">
        <v>3.7</v>
      </c>
      <c r="T53" s="110">
        <v>3.7</v>
      </c>
      <c r="U53" s="110">
        <v>3.7</v>
      </c>
      <c r="V53" s="110">
        <v>3.7</v>
      </c>
    </row>
    <row r="54" spans="1:22" ht="16.5" x14ac:dyDescent="0.3">
      <c r="A54" t="s">
        <v>122</v>
      </c>
      <c r="B54" t="s">
        <v>3</v>
      </c>
      <c r="C54" t="s">
        <v>222</v>
      </c>
      <c r="F54" s="17"/>
      <c r="H54" s="110">
        <v>15.9</v>
      </c>
      <c r="I54" s="110">
        <v>16.096605342055593</v>
      </c>
      <c r="J54" s="110">
        <v>16.293210684111191</v>
      </c>
      <c r="K54" s="110">
        <v>16.489816026166782</v>
      </c>
      <c r="L54" s="110">
        <v>16.686421368222376</v>
      </c>
      <c r="M54" s="110">
        <v>17.089410675901505</v>
      </c>
      <c r="N54" s="110">
        <v>17.49239998358064</v>
      </c>
      <c r="O54" s="110">
        <v>17.886127155337441</v>
      </c>
      <c r="P54" s="110">
        <v>18.270592191171918</v>
      </c>
      <c r="Q54" s="110">
        <v>18.645795091084061</v>
      </c>
      <c r="R54" s="110">
        <v>19.020676676689334</v>
      </c>
      <c r="S54" s="110">
        <v>19.386296126372272</v>
      </c>
      <c r="T54" s="110">
        <v>19.742653440132884</v>
      </c>
      <c r="U54" s="110">
        <v>20.089748617971164</v>
      </c>
      <c r="V54" s="110">
        <v>20.427581659887117</v>
      </c>
    </row>
    <row r="55" spans="1:22" ht="16.5" x14ac:dyDescent="0.3">
      <c r="A55" t="s">
        <v>178</v>
      </c>
      <c r="B55" t="s">
        <v>56</v>
      </c>
      <c r="C55" t="s">
        <v>222</v>
      </c>
      <c r="F55" s="17"/>
      <c r="H55" s="110">
        <v>12.27</v>
      </c>
      <c r="I55" s="110">
        <v>12.421719971510825</v>
      </c>
      <c r="J55" s="110">
        <v>12.573439943021654</v>
      </c>
      <c r="K55" s="110">
        <v>12.725159914532476</v>
      </c>
      <c r="L55" s="110">
        <v>12.876879886043303</v>
      </c>
      <c r="M55" s="110">
        <v>13.187865974422103</v>
      </c>
      <c r="N55" s="110">
        <v>13.498852062800905</v>
      </c>
      <c r="O55" s="110">
        <v>13.802690578364173</v>
      </c>
      <c r="P55" s="110">
        <v>14.09938152111191</v>
      </c>
      <c r="Q55" s="110">
        <v>14.388924891044111</v>
      </c>
      <c r="R55" s="110">
        <v>14.678220303331953</v>
      </c>
      <c r="S55" s="110">
        <v>14.960368142804258</v>
      </c>
      <c r="T55" s="110">
        <v>15.23536840946103</v>
      </c>
      <c r="U55" s="110">
        <v>15.50322110330227</v>
      </c>
      <c r="V55" s="110">
        <v>15.763926224327976</v>
      </c>
    </row>
    <row r="56" spans="1:22" ht="16.5" x14ac:dyDescent="0.3">
      <c r="A56" t="s">
        <v>179</v>
      </c>
      <c r="B56" t="s">
        <v>56</v>
      </c>
      <c r="C56" t="s">
        <v>221</v>
      </c>
      <c r="F56" s="17"/>
      <c r="H56" s="110">
        <v>5.36</v>
      </c>
      <c r="I56" s="110">
        <v>5.36</v>
      </c>
      <c r="J56" s="110">
        <v>5.36</v>
      </c>
      <c r="K56" s="110">
        <v>5.36</v>
      </c>
      <c r="L56" s="110">
        <v>5.36</v>
      </c>
      <c r="M56" s="110">
        <v>5.36</v>
      </c>
      <c r="N56" s="110">
        <v>5.36</v>
      </c>
      <c r="O56" s="110">
        <v>5.36</v>
      </c>
      <c r="P56" s="110">
        <v>5.36</v>
      </c>
      <c r="Q56" s="110">
        <v>5.36</v>
      </c>
      <c r="R56" s="110">
        <v>5.36</v>
      </c>
      <c r="S56" s="110">
        <v>5.36</v>
      </c>
      <c r="T56" s="110">
        <v>5.36</v>
      </c>
      <c r="U56" s="110">
        <v>5.36</v>
      </c>
      <c r="V56" s="110">
        <v>5.36</v>
      </c>
    </row>
    <row r="57" spans="1:22" ht="16.5" x14ac:dyDescent="0.3">
      <c r="A57" t="s">
        <v>141</v>
      </c>
      <c r="B57" t="s">
        <v>23</v>
      </c>
      <c r="C57" t="s">
        <v>222</v>
      </c>
      <c r="F57" s="17"/>
      <c r="H57" s="110">
        <v>24.8</v>
      </c>
      <c r="I57" s="110">
        <v>25.106654873143317</v>
      </c>
      <c r="J57" s="110">
        <v>25.413309746286636</v>
      </c>
      <c r="K57" s="110">
        <v>25.719964619429945</v>
      </c>
      <c r="L57" s="110">
        <v>26.026619492573264</v>
      </c>
      <c r="M57" s="110">
        <v>26.655181431594798</v>
      </c>
      <c r="N57" s="110">
        <v>27.283743370616339</v>
      </c>
      <c r="O57" s="110">
        <v>27.89785870769613</v>
      </c>
      <c r="P57" s="110">
        <v>28.49752744283418</v>
      </c>
      <c r="Q57" s="110">
        <v>29.082749576030476</v>
      </c>
      <c r="R57" s="110">
        <v>29.667470539741842</v>
      </c>
      <c r="S57" s="110">
        <v>30.237744901511455</v>
      </c>
      <c r="T57" s="110">
        <v>30.793572661339326</v>
      </c>
      <c r="U57" s="110">
        <v>31.334953819225451</v>
      </c>
      <c r="V57" s="110">
        <v>31.86188837516983</v>
      </c>
    </row>
    <row r="58" spans="1:22" ht="16.5" x14ac:dyDescent="0.3">
      <c r="A58" t="s">
        <v>158</v>
      </c>
      <c r="B58" t="s">
        <v>41</v>
      </c>
      <c r="C58" t="s">
        <v>224</v>
      </c>
      <c r="F58" s="17"/>
      <c r="H58" s="110">
        <v>13.31</v>
      </c>
      <c r="I58" s="110">
        <v>13.474579691997482</v>
      </c>
      <c r="J58" s="110">
        <v>13.639159383994965</v>
      </c>
      <c r="K58" s="110">
        <v>13.803739075992443</v>
      </c>
      <c r="L58" s="110">
        <v>13.968318767989926</v>
      </c>
      <c r="M58" s="110">
        <v>14.305663905424467</v>
      </c>
      <c r="N58" s="110">
        <v>14.643009042859012</v>
      </c>
      <c r="O58" s="110">
        <v>14.972600782235302</v>
      </c>
      <c r="P58" s="110">
        <v>15.294439123553344</v>
      </c>
      <c r="Q58" s="110">
        <v>15.60852406681313</v>
      </c>
      <c r="R58" s="110">
        <v>15.922340035643707</v>
      </c>
      <c r="S58" s="110">
        <v>16.228402606416026</v>
      </c>
      <c r="T58" s="110">
        <v>16.526711779130096</v>
      </c>
      <c r="U58" s="110">
        <v>16.817267553785914</v>
      </c>
      <c r="V58" s="110">
        <v>17.10006993038348</v>
      </c>
    </row>
    <row r="59" spans="1:22" ht="16.5" x14ac:dyDescent="0.3">
      <c r="A59" t="s">
        <v>142</v>
      </c>
      <c r="B59" t="s">
        <v>23</v>
      </c>
      <c r="C59" t="s">
        <v>221</v>
      </c>
      <c r="F59" s="17"/>
      <c r="H59" s="110">
        <v>1.5999999999999999</v>
      </c>
      <c r="I59" s="110">
        <v>1.5999999999999999</v>
      </c>
      <c r="J59" s="110">
        <v>1.5999999999999999</v>
      </c>
      <c r="K59" s="110">
        <v>1.5999999999999999</v>
      </c>
      <c r="L59" s="110">
        <v>1.5999999999999999</v>
      </c>
      <c r="M59" s="110">
        <v>1.5999999999999999</v>
      </c>
      <c r="N59" s="110">
        <v>1.5999999999999999</v>
      </c>
      <c r="O59" s="110">
        <v>1.5999999999999999</v>
      </c>
      <c r="P59" s="110">
        <v>1.5999999999999999</v>
      </c>
      <c r="Q59" s="110">
        <v>1.5999999999999999</v>
      </c>
      <c r="R59" s="110">
        <v>1.5999999999999999</v>
      </c>
      <c r="S59" s="110">
        <v>1.5999999999999999</v>
      </c>
      <c r="T59" s="110">
        <v>1.5999999999999999</v>
      </c>
      <c r="U59" s="110">
        <v>1.5999999999999999</v>
      </c>
      <c r="V59" s="110">
        <v>1.5999999999999999</v>
      </c>
    </row>
    <row r="60" spans="1:22" ht="16.5" x14ac:dyDescent="0.3">
      <c r="A60" t="s">
        <v>180</v>
      </c>
      <c r="B60" t="s">
        <v>56</v>
      </c>
      <c r="C60" t="s">
        <v>221</v>
      </c>
      <c r="F60" s="17"/>
      <c r="H60" s="110">
        <v>1.7999999999999998</v>
      </c>
      <c r="I60" s="110">
        <v>1.7999999999999998</v>
      </c>
      <c r="J60" s="110">
        <v>1.7999999999999998</v>
      </c>
      <c r="K60" s="110">
        <v>1.7999999999999998</v>
      </c>
      <c r="L60" s="110">
        <v>1.7999999999999998</v>
      </c>
      <c r="M60" s="110">
        <v>1.7999999999999998</v>
      </c>
      <c r="N60" s="110">
        <v>1.7999999999999998</v>
      </c>
      <c r="O60" s="110">
        <v>1.7999999999999998</v>
      </c>
      <c r="P60" s="110">
        <v>1.7999999999999998</v>
      </c>
      <c r="Q60" s="110">
        <v>1.7999999999999998</v>
      </c>
      <c r="R60" s="110">
        <v>1.7999999999999998</v>
      </c>
      <c r="S60" s="110">
        <v>1.7999999999999998</v>
      </c>
      <c r="T60" s="110">
        <v>1.7999999999999998</v>
      </c>
      <c r="U60" s="110">
        <v>1.7999999999999998</v>
      </c>
      <c r="V60" s="110">
        <v>1.7999999999999998</v>
      </c>
    </row>
    <row r="61" spans="1:22" ht="16.5" x14ac:dyDescent="0.3">
      <c r="A61" t="s">
        <v>123</v>
      </c>
      <c r="B61" t="s">
        <v>3</v>
      </c>
      <c r="C61" t="s">
        <v>221</v>
      </c>
      <c r="F61" s="17"/>
      <c r="H61" s="110">
        <v>1.2</v>
      </c>
      <c r="I61" s="110">
        <v>1.2</v>
      </c>
      <c r="J61" s="110">
        <v>1.2</v>
      </c>
      <c r="K61" s="110">
        <v>1.2</v>
      </c>
      <c r="L61" s="110">
        <v>1.2</v>
      </c>
      <c r="M61" s="110">
        <v>1.2</v>
      </c>
      <c r="N61" s="110">
        <v>1.2</v>
      </c>
      <c r="O61" s="110">
        <v>1.2</v>
      </c>
      <c r="P61" s="110">
        <v>1.2</v>
      </c>
      <c r="Q61" s="110">
        <v>1.2</v>
      </c>
      <c r="R61" s="110">
        <v>1.2</v>
      </c>
      <c r="S61" s="110">
        <v>1.2</v>
      </c>
      <c r="T61" s="110">
        <v>1.2</v>
      </c>
      <c r="U61" s="110">
        <v>1.2</v>
      </c>
      <c r="V61" s="110">
        <v>1.2</v>
      </c>
    </row>
    <row r="62" spans="1:22" ht="16.5" x14ac:dyDescent="0.3">
      <c r="A62" t="s">
        <v>143</v>
      </c>
      <c r="B62" t="s">
        <v>23</v>
      </c>
      <c r="C62" t="s">
        <v>224</v>
      </c>
      <c r="F62" s="17"/>
      <c r="H62" s="110">
        <v>6.4</v>
      </c>
      <c r="I62" s="110">
        <v>6.4791367414563403</v>
      </c>
      <c r="J62" s="110">
        <v>6.5582734829126812</v>
      </c>
      <c r="K62" s="110">
        <v>6.6374102243690194</v>
      </c>
      <c r="L62" s="110">
        <v>6.7165469658253594</v>
      </c>
      <c r="M62" s="110">
        <v>6.8787564984760774</v>
      </c>
      <c r="N62" s="110">
        <v>7.0409660311267981</v>
      </c>
      <c r="O62" s="110">
        <v>7.1994474084377114</v>
      </c>
      <c r="P62" s="110">
        <v>7.3542006304088208</v>
      </c>
      <c r="Q62" s="110">
        <v>7.5052256970401228</v>
      </c>
      <c r="R62" s="110">
        <v>7.6561214296107982</v>
      </c>
      <c r="S62" s="110">
        <v>7.8032890068416663</v>
      </c>
      <c r="T62" s="110">
        <v>7.9467284287327296</v>
      </c>
      <c r="U62" s="110">
        <v>8.0864396952839872</v>
      </c>
      <c r="V62" s="110">
        <v>8.2224228064954392</v>
      </c>
    </row>
    <row r="63" spans="1:22" ht="16.5" x14ac:dyDescent="0.3">
      <c r="A63" t="s">
        <v>181</v>
      </c>
      <c r="B63" t="s">
        <v>56</v>
      </c>
      <c r="C63" t="s">
        <v>221</v>
      </c>
      <c r="F63" s="17"/>
      <c r="H63" s="110">
        <v>1.5</v>
      </c>
      <c r="I63" s="110">
        <v>1.5</v>
      </c>
      <c r="J63" s="110">
        <v>1.5</v>
      </c>
      <c r="K63" s="110">
        <v>1.5</v>
      </c>
      <c r="L63" s="110">
        <v>1.5</v>
      </c>
      <c r="M63" s="110">
        <v>1.5</v>
      </c>
      <c r="N63" s="110">
        <v>1.5</v>
      </c>
      <c r="O63" s="110">
        <v>1.5</v>
      </c>
      <c r="P63" s="110">
        <v>1.5</v>
      </c>
      <c r="Q63" s="110">
        <v>1.5</v>
      </c>
      <c r="R63" s="110">
        <v>1.5</v>
      </c>
      <c r="S63" s="110">
        <v>1.5</v>
      </c>
      <c r="T63" s="110">
        <v>1.5</v>
      </c>
      <c r="U63" s="110">
        <v>1.5</v>
      </c>
      <c r="V63" s="110">
        <v>1.5</v>
      </c>
    </row>
    <row r="64" spans="1:22" ht="16.5" x14ac:dyDescent="0.3">
      <c r="A64" t="s">
        <v>159</v>
      </c>
      <c r="B64" t="s">
        <v>41</v>
      </c>
      <c r="C64" t="s">
        <v>222</v>
      </c>
      <c r="F64" s="17"/>
      <c r="H64" s="110">
        <v>11.3</v>
      </c>
      <c r="I64" s="110">
        <v>11.439725809133851</v>
      </c>
      <c r="J64" s="110">
        <v>11.579451618267703</v>
      </c>
      <c r="K64" s="110">
        <v>11.719177427401549</v>
      </c>
      <c r="L64" s="110">
        <v>11.858903236535399</v>
      </c>
      <c r="M64" s="110">
        <v>12.145304442621823</v>
      </c>
      <c r="N64" s="110">
        <v>12.431705648708252</v>
      </c>
      <c r="O64" s="110">
        <v>12.711524330522835</v>
      </c>
      <c r="P64" s="110">
        <v>12.984760488065575</v>
      </c>
      <c r="Q64" s="110">
        <v>13.251414121336468</v>
      </c>
      <c r="R64" s="110">
        <v>13.517839399156568</v>
      </c>
      <c r="S64" s="110">
        <v>13.777682152704818</v>
      </c>
      <c r="T64" s="110">
        <v>14.030942381981227</v>
      </c>
      <c r="U64" s="110">
        <v>14.277620086985792</v>
      </c>
      <c r="V64" s="110">
        <v>14.517715267718513</v>
      </c>
    </row>
    <row r="65" spans="1:22" ht="16.5" x14ac:dyDescent="0.3">
      <c r="A65" t="s">
        <v>182</v>
      </c>
      <c r="B65" t="s">
        <v>56</v>
      </c>
      <c r="C65" t="s">
        <v>221</v>
      </c>
      <c r="F65" s="17"/>
      <c r="H65" s="110">
        <v>1</v>
      </c>
      <c r="I65" s="110">
        <v>1</v>
      </c>
      <c r="J65" s="110">
        <v>1</v>
      </c>
      <c r="K65" s="110">
        <v>1</v>
      </c>
      <c r="L65" s="110">
        <v>1</v>
      </c>
      <c r="M65" s="110">
        <v>1</v>
      </c>
      <c r="N65" s="110">
        <v>1</v>
      </c>
      <c r="O65" s="110">
        <v>1</v>
      </c>
      <c r="P65" s="110">
        <v>1</v>
      </c>
      <c r="Q65" s="110">
        <v>1</v>
      </c>
      <c r="R65" s="110">
        <v>1</v>
      </c>
      <c r="S65" s="110">
        <v>1</v>
      </c>
      <c r="T65" s="110">
        <v>1</v>
      </c>
      <c r="U65" s="110">
        <v>1</v>
      </c>
      <c r="V65" s="110">
        <v>1</v>
      </c>
    </row>
    <row r="66" spans="1:22" ht="16.5" x14ac:dyDescent="0.3">
      <c r="A66" t="s">
        <v>183</v>
      </c>
      <c r="B66" t="s">
        <v>56</v>
      </c>
      <c r="C66" t="s">
        <v>221</v>
      </c>
      <c r="F66" s="17"/>
      <c r="H66" s="110">
        <v>0.2</v>
      </c>
      <c r="I66" s="110">
        <v>0.2</v>
      </c>
      <c r="J66" s="110">
        <v>0.2</v>
      </c>
      <c r="K66" s="110">
        <v>0.2</v>
      </c>
      <c r="L66" s="110">
        <v>0.2</v>
      </c>
      <c r="M66" s="110">
        <v>0.2</v>
      </c>
      <c r="N66" s="110">
        <v>0.2</v>
      </c>
      <c r="O66" s="110">
        <v>0.2</v>
      </c>
      <c r="P66" s="110">
        <v>0.2</v>
      </c>
      <c r="Q66" s="110">
        <v>0.2</v>
      </c>
      <c r="R66" s="110">
        <v>0.2</v>
      </c>
      <c r="S66" s="110">
        <v>0.2</v>
      </c>
      <c r="T66" s="110">
        <v>0.2</v>
      </c>
      <c r="U66" s="110">
        <v>0.2</v>
      </c>
      <c r="V66" s="110">
        <v>0.2</v>
      </c>
    </row>
    <row r="67" spans="1:22" ht="16.5" x14ac:dyDescent="0.3">
      <c r="A67" t="s">
        <v>160</v>
      </c>
      <c r="B67" t="s">
        <v>41</v>
      </c>
      <c r="C67" t="s">
        <v>221</v>
      </c>
      <c r="F67" s="17"/>
      <c r="H67" s="110">
        <v>2.8</v>
      </c>
      <c r="I67" s="110">
        <v>2.8</v>
      </c>
      <c r="J67" s="110">
        <v>2.8</v>
      </c>
      <c r="K67" s="110">
        <v>2.8</v>
      </c>
      <c r="L67" s="110">
        <v>2.8</v>
      </c>
      <c r="M67" s="110">
        <v>2.8</v>
      </c>
      <c r="N67" s="110">
        <v>2.8</v>
      </c>
      <c r="O67" s="110">
        <v>2.8</v>
      </c>
      <c r="P67" s="110">
        <v>2.8</v>
      </c>
      <c r="Q67" s="110">
        <v>2.8</v>
      </c>
      <c r="R67" s="110">
        <v>2.8</v>
      </c>
      <c r="S67" s="110">
        <v>2.8</v>
      </c>
      <c r="T67" s="110">
        <v>2.8</v>
      </c>
      <c r="U67" s="110">
        <v>2.8</v>
      </c>
      <c r="V67" s="110">
        <v>2.8</v>
      </c>
    </row>
    <row r="68" spans="1:22" ht="16.5" x14ac:dyDescent="0.3">
      <c r="A68" t="s">
        <v>184</v>
      </c>
      <c r="B68" t="s">
        <v>56</v>
      </c>
      <c r="C68" t="s">
        <v>221</v>
      </c>
      <c r="F68" s="17"/>
      <c r="H68" s="110">
        <v>1.2</v>
      </c>
      <c r="I68" s="110">
        <v>1.2</v>
      </c>
      <c r="J68" s="110">
        <v>1.2</v>
      </c>
      <c r="K68" s="110">
        <v>1.2</v>
      </c>
      <c r="L68" s="110">
        <v>1.2</v>
      </c>
      <c r="M68" s="110">
        <v>1.2</v>
      </c>
      <c r="N68" s="110">
        <v>1.2</v>
      </c>
      <c r="O68" s="110">
        <v>1.2</v>
      </c>
      <c r="P68" s="110">
        <v>1.2</v>
      </c>
      <c r="Q68" s="110">
        <v>1.2</v>
      </c>
      <c r="R68" s="110">
        <v>1.2</v>
      </c>
      <c r="S68" s="110">
        <v>1.2</v>
      </c>
      <c r="T68" s="110">
        <v>1.2</v>
      </c>
      <c r="U68" s="110">
        <v>1.2</v>
      </c>
      <c r="V68" s="110">
        <v>1.2</v>
      </c>
    </row>
    <row r="69" spans="1:22" ht="16.5" x14ac:dyDescent="0.3">
      <c r="A69" t="s">
        <v>161</v>
      </c>
      <c r="B69" t="s">
        <v>41</v>
      </c>
      <c r="C69" t="s">
        <v>222</v>
      </c>
      <c r="F69" s="17"/>
      <c r="H69" s="110">
        <v>9.1</v>
      </c>
      <c r="I69" s="110">
        <v>9.2125225542582321</v>
      </c>
      <c r="J69" s="110">
        <v>9.3250451085164663</v>
      </c>
      <c r="K69" s="110">
        <v>9.4375676627746969</v>
      </c>
      <c r="L69" s="110">
        <v>9.5500902170329312</v>
      </c>
      <c r="M69" s="110">
        <v>9.7807318962706713</v>
      </c>
      <c r="N69" s="110">
        <v>10.011373575508415</v>
      </c>
      <c r="O69" s="110">
        <v>10.23671428387237</v>
      </c>
      <c r="P69" s="110">
        <v>10.456754021362542</v>
      </c>
      <c r="Q69" s="110">
        <v>10.671492787978925</v>
      </c>
      <c r="R69" s="110">
        <v>10.886047657727854</v>
      </c>
      <c r="S69" s="110">
        <v>11.095301556602994</v>
      </c>
      <c r="T69" s="110">
        <v>11.299254484604349</v>
      </c>
      <c r="U69" s="110">
        <v>11.497906441731919</v>
      </c>
      <c r="V69" s="110">
        <v>11.691257427985702</v>
      </c>
    </row>
    <row r="70" spans="1:22" ht="16.5" x14ac:dyDescent="0.3">
      <c r="A70" t="s">
        <v>124</v>
      </c>
      <c r="B70" t="s">
        <v>3</v>
      </c>
      <c r="C70" t="s">
        <v>221</v>
      </c>
      <c r="F70" s="17"/>
      <c r="H70" s="110">
        <v>1</v>
      </c>
      <c r="I70" s="110">
        <v>1</v>
      </c>
      <c r="J70" s="110">
        <v>1</v>
      </c>
      <c r="K70" s="110">
        <v>1</v>
      </c>
      <c r="L70" s="110">
        <v>1</v>
      </c>
      <c r="M70" s="110">
        <v>1</v>
      </c>
      <c r="N70" s="110">
        <v>1</v>
      </c>
      <c r="O70" s="110">
        <v>1</v>
      </c>
      <c r="P70" s="110">
        <v>1</v>
      </c>
      <c r="Q70" s="110">
        <v>1</v>
      </c>
      <c r="R70" s="110">
        <v>1</v>
      </c>
      <c r="S70" s="110">
        <v>1</v>
      </c>
      <c r="T70" s="110">
        <v>1</v>
      </c>
      <c r="U70" s="110">
        <v>1</v>
      </c>
      <c r="V70" s="110">
        <v>1</v>
      </c>
    </row>
    <row r="71" spans="1:22" ht="16.5" x14ac:dyDescent="0.3">
      <c r="A71" t="s">
        <v>185</v>
      </c>
      <c r="B71" t="s">
        <v>56</v>
      </c>
      <c r="C71" t="s">
        <v>221</v>
      </c>
      <c r="F71" s="17"/>
      <c r="H71" s="110">
        <v>2.6</v>
      </c>
      <c r="I71" s="110">
        <v>2.6</v>
      </c>
      <c r="J71" s="110">
        <v>2.6</v>
      </c>
      <c r="K71" s="110">
        <v>2.6</v>
      </c>
      <c r="L71" s="110">
        <v>2.6</v>
      </c>
      <c r="M71" s="110">
        <v>2.6</v>
      </c>
      <c r="N71" s="110">
        <v>2.6</v>
      </c>
      <c r="O71" s="110">
        <v>2.6</v>
      </c>
      <c r="P71" s="110">
        <v>2.6</v>
      </c>
      <c r="Q71" s="110">
        <v>2.6</v>
      </c>
      <c r="R71" s="110">
        <v>2.6</v>
      </c>
      <c r="S71" s="110">
        <v>2.6</v>
      </c>
      <c r="T71" s="110">
        <v>2.6</v>
      </c>
      <c r="U71" s="110">
        <v>2.6</v>
      </c>
      <c r="V71" s="110">
        <v>2.6</v>
      </c>
    </row>
    <row r="72" spans="1:22" ht="16.5" x14ac:dyDescent="0.3">
      <c r="A72" t="s">
        <v>144</v>
      </c>
      <c r="B72" t="s">
        <v>23</v>
      </c>
      <c r="C72" t="s">
        <v>221</v>
      </c>
      <c r="F72" s="17"/>
      <c r="H72" s="110">
        <v>3.4</v>
      </c>
      <c r="I72" s="110">
        <v>3.4</v>
      </c>
      <c r="J72" s="110">
        <v>3.4</v>
      </c>
      <c r="K72" s="110">
        <v>3.4</v>
      </c>
      <c r="L72" s="110">
        <v>3.4</v>
      </c>
      <c r="M72" s="110">
        <v>3.4</v>
      </c>
      <c r="N72" s="110">
        <v>3.4</v>
      </c>
      <c r="O72" s="110">
        <v>3.4</v>
      </c>
      <c r="P72" s="110">
        <v>3.4</v>
      </c>
      <c r="Q72" s="110">
        <v>3.4</v>
      </c>
      <c r="R72" s="110">
        <v>3.4</v>
      </c>
      <c r="S72" s="110">
        <v>3.4</v>
      </c>
      <c r="T72" s="110">
        <v>3.4</v>
      </c>
      <c r="U72" s="110">
        <v>3.4</v>
      </c>
      <c r="V72" s="110">
        <v>3.4</v>
      </c>
    </row>
    <row r="73" spans="1:22" ht="16.5" x14ac:dyDescent="0.3">
      <c r="A73" t="s">
        <v>125</v>
      </c>
      <c r="B73" t="s">
        <v>3</v>
      </c>
      <c r="C73" t="s">
        <v>221</v>
      </c>
      <c r="F73" s="17"/>
      <c r="H73" s="110">
        <v>0.8</v>
      </c>
      <c r="I73" s="110">
        <v>0.8</v>
      </c>
      <c r="J73" s="110">
        <v>0.8</v>
      </c>
      <c r="K73" s="110">
        <v>0.8</v>
      </c>
      <c r="L73" s="110">
        <v>0.8</v>
      </c>
      <c r="M73" s="110">
        <v>0.8</v>
      </c>
      <c r="N73" s="110">
        <v>0.8</v>
      </c>
      <c r="O73" s="110">
        <v>0.8</v>
      </c>
      <c r="P73" s="110">
        <v>0.8</v>
      </c>
      <c r="Q73" s="110">
        <v>0.8</v>
      </c>
      <c r="R73" s="110">
        <v>0.8</v>
      </c>
      <c r="S73" s="110">
        <v>0.8</v>
      </c>
      <c r="T73" s="110">
        <v>0.8</v>
      </c>
      <c r="U73" s="110">
        <v>0.8</v>
      </c>
      <c r="V73" s="110">
        <v>0.8</v>
      </c>
    </row>
    <row r="74" spans="1:22" ht="16.5" x14ac:dyDescent="0.3">
      <c r="A74" t="s">
        <v>126</v>
      </c>
      <c r="B74" t="s">
        <v>3</v>
      </c>
      <c r="C74" t="s">
        <v>221</v>
      </c>
      <c r="F74" s="17"/>
      <c r="H74" s="110">
        <v>2.75</v>
      </c>
      <c r="I74" s="110">
        <v>2.75</v>
      </c>
      <c r="J74" s="110">
        <v>2.75</v>
      </c>
      <c r="K74" s="110">
        <v>2.75</v>
      </c>
      <c r="L74" s="110">
        <v>2.75</v>
      </c>
      <c r="M74" s="110">
        <v>2.75</v>
      </c>
      <c r="N74" s="110">
        <v>2.75</v>
      </c>
      <c r="O74" s="110">
        <v>2.75</v>
      </c>
      <c r="P74" s="110">
        <v>2.75</v>
      </c>
      <c r="Q74" s="110">
        <v>2.75</v>
      </c>
      <c r="R74" s="110">
        <v>2.75</v>
      </c>
      <c r="S74" s="110">
        <v>2.75</v>
      </c>
      <c r="T74" s="110">
        <v>2.75</v>
      </c>
      <c r="U74" s="110">
        <v>2.75</v>
      </c>
      <c r="V74" s="110">
        <v>2.75</v>
      </c>
    </row>
    <row r="75" spans="1:22" ht="16.5" x14ac:dyDescent="0.3">
      <c r="A75" t="s">
        <v>186</v>
      </c>
      <c r="B75" t="s">
        <v>56</v>
      </c>
      <c r="C75" t="s">
        <v>221</v>
      </c>
      <c r="F75" s="17"/>
      <c r="H75" s="110">
        <v>3.1999999999999997</v>
      </c>
      <c r="I75" s="110">
        <v>3.1999999999999997</v>
      </c>
      <c r="J75" s="110">
        <v>3.1999999999999997</v>
      </c>
      <c r="K75" s="110">
        <v>3.1999999999999997</v>
      </c>
      <c r="L75" s="110">
        <v>3.1999999999999997</v>
      </c>
      <c r="M75" s="110">
        <v>3.1999999999999997</v>
      </c>
      <c r="N75" s="110">
        <v>3.1999999999999997</v>
      </c>
      <c r="O75" s="110">
        <v>3.1999999999999997</v>
      </c>
      <c r="P75" s="110">
        <v>3.1999999999999997</v>
      </c>
      <c r="Q75" s="110">
        <v>3.1999999999999997</v>
      </c>
      <c r="R75" s="110">
        <v>3.1999999999999997</v>
      </c>
      <c r="S75" s="110">
        <v>3.1999999999999997</v>
      </c>
      <c r="T75" s="110">
        <v>3.1999999999999997</v>
      </c>
      <c r="U75" s="110">
        <v>3.1999999999999997</v>
      </c>
      <c r="V75" s="110">
        <v>3.1999999999999997</v>
      </c>
    </row>
    <row r="76" spans="1:22" ht="16.5" x14ac:dyDescent="0.3">
      <c r="A76" t="s">
        <v>162</v>
      </c>
      <c r="B76" t="s">
        <v>41</v>
      </c>
      <c r="C76" t="s">
        <v>221</v>
      </c>
      <c r="F76" s="17"/>
      <c r="H76" s="110">
        <v>4.25</v>
      </c>
      <c r="I76" s="110">
        <v>4.25</v>
      </c>
      <c r="J76" s="110">
        <v>4.25</v>
      </c>
      <c r="K76" s="110">
        <v>4.25</v>
      </c>
      <c r="L76" s="110">
        <v>4.25</v>
      </c>
      <c r="M76" s="110">
        <v>4.25</v>
      </c>
      <c r="N76" s="110">
        <v>4.25</v>
      </c>
      <c r="O76" s="110">
        <v>4.25</v>
      </c>
      <c r="P76" s="110">
        <v>4.25</v>
      </c>
      <c r="Q76" s="110">
        <v>4.25</v>
      </c>
      <c r="R76" s="110">
        <v>4.25</v>
      </c>
      <c r="S76" s="110">
        <v>4.25</v>
      </c>
      <c r="T76" s="110">
        <v>4.25</v>
      </c>
      <c r="U76" s="110">
        <v>4.25</v>
      </c>
      <c r="V76" s="110">
        <v>4.25</v>
      </c>
    </row>
    <row r="77" spans="1:22" ht="16.5" x14ac:dyDescent="0.3">
      <c r="A77" t="s">
        <v>187</v>
      </c>
      <c r="B77" t="s">
        <v>56</v>
      </c>
      <c r="C77" t="s">
        <v>221</v>
      </c>
      <c r="F77" s="17"/>
      <c r="H77" s="110">
        <v>0.8</v>
      </c>
      <c r="I77" s="110">
        <v>0.8</v>
      </c>
      <c r="J77" s="110">
        <v>0.8</v>
      </c>
      <c r="K77" s="110">
        <v>0.8</v>
      </c>
      <c r="L77" s="110">
        <v>0.8</v>
      </c>
      <c r="M77" s="110">
        <v>0.8</v>
      </c>
      <c r="N77" s="110">
        <v>0.8</v>
      </c>
      <c r="O77" s="110">
        <v>0.8</v>
      </c>
      <c r="P77" s="110">
        <v>0.8</v>
      </c>
      <c r="Q77" s="110">
        <v>0.8</v>
      </c>
      <c r="R77" s="110">
        <v>0.8</v>
      </c>
      <c r="S77" s="110">
        <v>0.8</v>
      </c>
      <c r="T77" s="110">
        <v>0.8</v>
      </c>
      <c r="U77" s="110">
        <v>0.8</v>
      </c>
      <c r="V77" s="110">
        <v>0.8</v>
      </c>
    </row>
    <row r="78" spans="1:22" ht="16.5" x14ac:dyDescent="0.3">
      <c r="A78" t="s">
        <v>127</v>
      </c>
      <c r="B78" t="s">
        <v>3</v>
      </c>
      <c r="C78" t="s">
        <v>222</v>
      </c>
      <c r="F78" s="17"/>
      <c r="H78" s="110">
        <v>13.6</v>
      </c>
      <c r="I78" s="110">
        <v>13.768165575594722</v>
      </c>
      <c r="J78" s="110">
        <v>13.936331151189446</v>
      </c>
      <c r="K78" s="110">
        <v>14.104496726784165</v>
      </c>
      <c r="L78" s="110">
        <v>14.272662302378887</v>
      </c>
      <c r="M78" s="110">
        <v>14.617357559261663</v>
      </c>
      <c r="N78" s="110">
        <v>14.962052816144444</v>
      </c>
      <c r="O78" s="110">
        <v>15.298825742930136</v>
      </c>
      <c r="P78" s="110">
        <v>15.627676339618745</v>
      </c>
      <c r="Q78" s="110">
        <v>15.948604606210262</v>
      </c>
      <c r="R78" s="110">
        <v>16.269258037922949</v>
      </c>
      <c r="S78" s="110">
        <v>16.581989139538543</v>
      </c>
      <c r="T78" s="110">
        <v>16.886797911057052</v>
      </c>
      <c r="U78" s="110">
        <v>17.183684352478473</v>
      </c>
      <c r="V78" s="110">
        <v>17.472648463802809</v>
      </c>
    </row>
    <row r="79" spans="1:22" ht="16.5" x14ac:dyDescent="0.3">
      <c r="A79" t="s">
        <v>145</v>
      </c>
      <c r="B79" t="s">
        <v>23</v>
      </c>
      <c r="C79" t="s">
        <v>224</v>
      </c>
      <c r="F79" s="17"/>
      <c r="H79" s="110">
        <v>35.58</v>
      </c>
      <c r="I79" s="110">
        <v>36.019950822033834</v>
      </c>
      <c r="J79" s="110">
        <v>36.459901644067678</v>
      </c>
      <c r="K79" s="110">
        <v>36.899852466101507</v>
      </c>
      <c r="L79" s="110">
        <v>37.33980328813535</v>
      </c>
      <c r="M79" s="110">
        <v>38.241586908715433</v>
      </c>
      <c r="N79" s="110">
        <v>39.143370529295531</v>
      </c>
      <c r="O79" s="110">
        <v>40.024427936283388</v>
      </c>
      <c r="P79" s="110">
        <v>40.884759129679026</v>
      </c>
      <c r="Q79" s="110">
        <v>41.724364109482423</v>
      </c>
      <c r="R79" s="110">
        <v>42.56325007274252</v>
      </c>
      <c r="S79" s="110">
        <v>43.381409822410376</v>
      </c>
      <c r="T79" s="110">
        <v>44.178843358486006</v>
      </c>
      <c r="U79" s="110">
        <v>44.955550680969402</v>
      </c>
      <c r="V79" s="110">
        <v>45.711531789860572</v>
      </c>
    </row>
    <row r="80" spans="1:22" ht="16.5" x14ac:dyDescent="0.3">
      <c r="A80" t="s">
        <v>128</v>
      </c>
      <c r="B80" t="s">
        <v>3</v>
      </c>
      <c r="C80" t="s">
        <v>221</v>
      </c>
      <c r="F80" s="17"/>
      <c r="H80" s="110">
        <v>5.3999999999999995</v>
      </c>
      <c r="I80" s="110">
        <v>5.3999999999999995</v>
      </c>
      <c r="J80" s="110">
        <v>5.3999999999999995</v>
      </c>
      <c r="K80" s="110">
        <v>5.3999999999999995</v>
      </c>
      <c r="L80" s="110">
        <v>5.3999999999999995</v>
      </c>
      <c r="M80" s="110">
        <v>5.3999999999999995</v>
      </c>
      <c r="N80" s="110">
        <v>5.3999999999999995</v>
      </c>
      <c r="O80" s="110">
        <v>5.3999999999999995</v>
      </c>
      <c r="P80" s="110">
        <v>5.3999999999999995</v>
      </c>
      <c r="Q80" s="110">
        <v>5.3999999999999995</v>
      </c>
      <c r="R80" s="110">
        <v>5.3999999999999995</v>
      </c>
      <c r="S80" s="110">
        <v>5.3999999999999995</v>
      </c>
      <c r="T80" s="110">
        <v>5.3999999999999995</v>
      </c>
      <c r="U80" s="110">
        <v>5.3999999999999995</v>
      </c>
      <c r="V80" s="110">
        <v>5.3999999999999995</v>
      </c>
    </row>
    <row r="81" spans="1:22" ht="16.5" x14ac:dyDescent="0.3">
      <c r="A81" t="s">
        <v>188</v>
      </c>
      <c r="B81" t="s">
        <v>56</v>
      </c>
      <c r="C81" t="s">
        <v>224</v>
      </c>
      <c r="F81" s="17"/>
      <c r="H81" s="110">
        <v>46</v>
      </c>
      <c r="I81" s="110">
        <v>46.568795329217444</v>
      </c>
      <c r="J81" s="110">
        <v>47.137590658434895</v>
      </c>
      <c r="K81" s="110">
        <v>47.706385987652325</v>
      </c>
      <c r="L81" s="110">
        <v>48.275181316869769</v>
      </c>
      <c r="M81" s="110">
        <v>49.441062332796804</v>
      </c>
      <c r="N81" s="110">
        <v>50.60694334872386</v>
      </c>
      <c r="O81" s="110">
        <v>51.746028248146054</v>
      </c>
      <c r="P81" s="110">
        <v>52.858317031063407</v>
      </c>
      <c r="Q81" s="110">
        <v>53.943809697475892</v>
      </c>
      <c r="R81" s="110">
        <v>55.028372775327625</v>
      </c>
      <c r="S81" s="110">
        <v>56.08613973667449</v>
      </c>
      <c r="T81" s="110">
        <v>57.117110581516506</v>
      </c>
      <c r="U81" s="110">
        <v>58.121285309853668</v>
      </c>
      <c r="V81" s="110">
        <v>59.098663921685983</v>
      </c>
    </row>
    <row r="82" spans="1:22" ht="16.5" x14ac:dyDescent="0.3">
      <c r="A82" t="s">
        <v>146</v>
      </c>
      <c r="B82" t="s">
        <v>23</v>
      </c>
      <c r="C82" t="s">
        <v>222</v>
      </c>
      <c r="F82" s="17"/>
      <c r="H82" s="110">
        <v>8.2000000000000011</v>
      </c>
      <c r="I82" s="110">
        <v>8.3013939499909366</v>
      </c>
      <c r="J82" s="110">
        <v>8.4027878999818739</v>
      </c>
      <c r="K82" s="110">
        <v>8.5041818499728077</v>
      </c>
      <c r="L82" s="110">
        <v>8.6055757999637432</v>
      </c>
      <c r="M82" s="110">
        <v>8.8134067636724751</v>
      </c>
      <c r="N82" s="110">
        <v>9.0212377273812105</v>
      </c>
      <c r="O82" s="110">
        <v>9.2242919920608184</v>
      </c>
      <c r="P82" s="110">
        <v>9.4225695577113022</v>
      </c>
      <c r="Q82" s="110">
        <v>9.6160704243326585</v>
      </c>
      <c r="R82" s="110">
        <v>9.8094055816888357</v>
      </c>
      <c r="S82" s="110">
        <v>9.9979640400158853</v>
      </c>
      <c r="T82" s="110">
        <v>10.181745799313809</v>
      </c>
      <c r="U82" s="110">
        <v>10.360750859582607</v>
      </c>
      <c r="V82" s="110">
        <v>10.534979220822281</v>
      </c>
    </row>
    <row r="83" spans="1:22" ht="16.5" x14ac:dyDescent="0.3">
      <c r="A83" t="s">
        <v>129</v>
      </c>
      <c r="B83" t="s">
        <v>3</v>
      </c>
      <c r="C83" t="s">
        <v>224</v>
      </c>
      <c r="F83" s="17"/>
      <c r="H83" s="110">
        <v>16.099999999999998</v>
      </c>
      <c r="I83" s="110">
        <v>16.299078365226102</v>
      </c>
      <c r="J83" s="110">
        <v>16.498156730452209</v>
      </c>
      <c r="K83" s="110">
        <v>16.697235095678309</v>
      </c>
      <c r="L83" s="110">
        <v>16.896313460904416</v>
      </c>
      <c r="M83" s="110">
        <v>17.304371816478881</v>
      </c>
      <c r="N83" s="110">
        <v>17.712430172053349</v>
      </c>
      <c r="O83" s="110">
        <v>18.111109886851114</v>
      </c>
      <c r="P83" s="110">
        <v>18.500410960872188</v>
      </c>
      <c r="Q83" s="110">
        <v>18.880333394116558</v>
      </c>
      <c r="R83" s="110">
        <v>19.259930471364665</v>
      </c>
      <c r="S83" s="110">
        <v>19.630148907836066</v>
      </c>
      <c r="T83" s="110">
        <v>19.990988703530771</v>
      </c>
      <c r="U83" s="110">
        <v>20.342449858448777</v>
      </c>
      <c r="V83" s="110">
        <v>20.684532372590088</v>
      </c>
    </row>
    <row r="84" spans="1:22" ht="16.5" x14ac:dyDescent="0.3">
      <c r="A84" t="s">
        <v>189</v>
      </c>
      <c r="B84" t="s">
        <v>56</v>
      </c>
      <c r="C84" t="s">
        <v>221</v>
      </c>
      <c r="F84" s="17"/>
      <c r="H84" s="110">
        <v>1.3</v>
      </c>
      <c r="I84" s="110">
        <v>1.3</v>
      </c>
      <c r="J84" s="110">
        <v>1.3</v>
      </c>
      <c r="K84" s="110">
        <v>1.3</v>
      </c>
      <c r="L84" s="110">
        <v>1.3</v>
      </c>
      <c r="M84" s="110">
        <v>1.3</v>
      </c>
      <c r="N84" s="110">
        <v>1.3</v>
      </c>
      <c r="O84" s="110">
        <v>1.3</v>
      </c>
      <c r="P84" s="110">
        <v>1.3</v>
      </c>
      <c r="Q84" s="110">
        <v>1.3</v>
      </c>
      <c r="R84" s="110">
        <v>1.3</v>
      </c>
      <c r="S84" s="110">
        <v>1.3</v>
      </c>
      <c r="T84" s="110">
        <v>1.3</v>
      </c>
      <c r="U84" s="110">
        <v>1.3</v>
      </c>
      <c r="V84" s="110">
        <v>1.3</v>
      </c>
    </row>
    <row r="85" spans="1:22" ht="16.5" x14ac:dyDescent="0.3"/>
    <row r="86" spans="1:22" ht="20.25" thickBot="1" x14ac:dyDescent="0.35">
      <c r="A86" s="1" t="s">
        <v>417</v>
      </c>
    </row>
    <row r="87" spans="1:22" ht="17.25" thickTop="1" x14ac:dyDescent="0.3"/>
    <row r="88" spans="1:22" ht="16.5" x14ac:dyDescent="0.3">
      <c r="A88" t="s">
        <v>111</v>
      </c>
      <c r="B88" t="s">
        <v>3</v>
      </c>
      <c r="C88" t="s">
        <v>221</v>
      </c>
      <c r="F88" s="17"/>
      <c r="H88" s="110">
        <v>1.2000000000000002</v>
      </c>
      <c r="I88" s="110">
        <v>1.1072052738051026</v>
      </c>
      <c r="J88" s="110">
        <v>1.4360100119382886</v>
      </c>
      <c r="K88" s="110">
        <v>1.6361725784545715</v>
      </c>
      <c r="L88" s="110">
        <v>1.6331140772535548</v>
      </c>
      <c r="M88" s="110">
        <v>1.628814234123372</v>
      </c>
      <c r="N88" s="110">
        <v>1.6334328411326227</v>
      </c>
      <c r="O88" s="110">
        <v>1.6345259881975658</v>
      </c>
      <c r="P88" s="110">
        <v>1.6361144481402619</v>
      </c>
      <c r="Q88" s="110">
        <v>1.6378751660143116</v>
      </c>
      <c r="R88" s="110">
        <v>1.639714753422856</v>
      </c>
      <c r="S88" s="110">
        <v>1.6416235284286687</v>
      </c>
      <c r="T88" s="110">
        <v>1.6435936949720749</v>
      </c>
      <c r="U88" s="110">
        <v>1.6456877737592672</v>
      </c>
      <c r="V88" s="110">
        <v>1.6479128214881786</v>
      </c>
    </row>
    <row r="89" spans="1:22" ht="16.5" x14ac:dyDescent="0.3">
      <c r="A89" t="s">
        <v>163</v>
      </c>
      <c r="B89" t="s">
        <v>56</v>
      </c>
      <c r="C89" t="s">
        <v>221</v>
      </c>
      <c r="F89" s="17"/>
      <c r="H89" s="110">
        <v>1.5</v>
      </c>
      <c r="I89" s="110">
        <v>1.5198434550646127</v>
      </c>
      <c r="J89" s="110">
        <v>1.5829747479294256</v>
      </c>
      <c r="K89" s="110">
        <v>1.6228763033728366</v>
      </c>
      <c r="L89" s="110">
        <v>1.6215575865066107</v>
      </c>
      <c r="M89" s="110">
        <v>1.5954820087433397</v>
      </c>
      <c r="N89" s="110">
        <v>1.5860308072348182</v>
      </c>
      <c r="O89" s="110">
        <v>1.5815618247387426</v>
      </c>
      <c r="P89" s="110">
        <v>1.5780940963083097</v>
      </c>
      <c r="Q89" s="110">
        <v>1.5753682603575536</v>
      </c>
      <c r="R89" s="110">
        <v>1.5732814118812437</v>
      </c>
      <c r="S89" s="110">
        <v>1.5718475017513354</v>
      </c>
      <c r="T89" s="110">
        <v>1.5709830187461282</v>
      </c>
      <c r="U89" s="110">
        <v>1.5705013116601128</v>
      </c>
      <c r="V89" s="110">
        <v>1.570302909228906</v>
      </c>
    </row>
    <row r="90" spans="1:22" ht="16.5" x14ac:dyDescent="0.3">
      <c r="A90" t="s">
        <v>164</v>
      </c>
      <c r="B90" t="s">
        <v>56</v>
      </c>
      <c r="C90" t="s">
        <v>221</v>
      </c>
      <c r="F90" s="17"/>
      <c r="H90" s="110">
        <v>10.4</v>
      </c>
      <c r="I90" s="110">
        <v>13.613427074139828</v>
      </c>
      <c r="J90" s="110">
        <v>14.005000383400741</v>
      </c>
      <c r="K90" s="110">
        <v>14.406586326026998</v>
      </c>
      <c r="L90" s="110">
        <v>14.921037680258948</v>
      </c>
      <c r="M90" s="110">
        <v>15.45849350747854</v>
      </c>
      <c r="N90" s="110">
        <v>16.116768991275794</v>
      </c>
      <c r="O90" s="110">
        <v>16.43792293951854</v>
      </c>
      <c r="P90" s="110">
        <v>16.76234102351702</v>
      </c>
      <c r="Q90" s="110">
        <v>17.088564956457784</v>
      </c>
      <c r="R90" s="110">
        <v>17.415964820839879</v>
      </c>
      <c r="S90" s="110">
        <v>17.744816322484006</v>
      </c>
      <c r="T90" s="110">
        <v>18.075101407014259</v>
      </c>
      <c r="U90" s="110">
        <v>18.406453375409253</v>
      </c>
      <c r="V90" s="110">
        <v>18.738780293957735</v>
      </c>
    </row>
    <row r="91" spans="1:22" ht="16.5" x14ac:dyDescent="0.3">
      <c r="A91" t="s">
        <v>130</v>
      </c>
      <c r="B91" t="s">
        <v>23</v>
      </c>
      <c r="C91" t="s">
        <v>222</v>
      </c>
      <c r="F91" s="17"/>
      <c r="H91" s="110">
        <v>13.7</v>
      </c>
      <c r="I91" s="110">
        <v>13.985389765509622</v>
      </c>
      <c r="J91" s="110">
        <v>14.465307679673804</v>
      </c>
      <c r="K91" s="110">
        <v>14.843960568355323</v>
      </c>
      <c r="L91" s="110">
        <v>15.177901752848571</v>
      </c>
      <c r="M91" s="110">
        <v>15.677565115697128</v>
      </c>
      <c r="N91" s="110">
        <v>16.193068427528278</v>
      </c>
      <c r="O91" s="110">
        <v>16.336495508391867</v>
      </c>
      <c r="P91" s="110">
        <v>16.477603586964218</v>
      </c>
      <c r="Q91" s="110">
        <v>16.61589741224196</v>
      </c>
      <c r="R91" s="110">
        <v>16.75408346958757</v>
      </c>
      <c r="S91" s="110">
        <v>16.893545847206237</v>
      </c>
      <c r="T91" s="110">
        <v>17.035570753752864</v>
      </c>
      <c r="U91" s="110">
        <v>17.179782485897555</v>
      </c>
      <c r="V91" s="110">
        <v>17.327662759824822</v>
      </c>
    </row>
    <row r="92" spans="1:22" ht="16.5" x14ac:dyDescent="0.3">
      <c r="A92" t="s">
        <v>147</v>
      </c>
      <c r="B92" t="s">
        <v>41</v>
      </c>
      <c r="C92" t="s">
        <v>221</v>
      </c>
      <c r="F92" s="17"/>
      <c r="H92" s="110">
        <v>2.9</v>
      </c>
      <c r="I92" s="110">
        <v>2.6305934704276654</v>
      </c>
      <c r="J92" s="110">
        <v>2.7821845772422069</v>
      </c>
      <c r="K92" s="110">
        <v>2.9306193775124245</v>
      </c>
      <c r="L92" s="110">
        <v>2.9852495733509494</v>
      </c>
      <c r="M92" s="110">
        <v>3.0683103675494228</v>
      </c>
      <c r="N92" s="110">
        <v>3.1758496490990211</v>
      </c>
      <c r="O92" s="110">
        <v>3.2460020808981405</v>
      </c>
      <c r="P92" s="110">
        <v>3.3153077747983941</v>
      </c>
      <c r="Q92" s="110">
        <v>3.3839782236535072</v>
      </c>
      <c r="R92" s="110">
        <v>3.4521545614559654</v>
      </c>
      <c r="S92" s="110">
        <v>3.5199108117749751</v>
      </c>
      <c r="T92" s="110">
        <v>3.5872627960913177</v>
      </c>
      <c r="U92" s="110">
        <v>3.6542202266212263</v>
      </c>
      <c r="V92" s="110">
        <v>3.7208223938946636</v>
      </c>
    </row>
    <row r="93" spans="1:22" ht="16.5" x14ac:dyDescent="0.3">
      <c r="A93" t="s">
        <v>148</v>
      </c>
      <c r="B93" t="s">
        <v>41</v>
      </c>
      <c r="C93" t="s">
        <v>221</v>
      </c>
      <c r="F93" s="17"/>
      <c r="H93" s="110">
        <v>5.75</v>
      </c>
      <c r="I93" s="110">
        <v>5.1223827560237671</v>
      </c>
      <c r="J93" s="110">
        <v>5.3397631030240369</v>
      </c>
      <c r="K93" s="110">
        <v>5.4878931490966023</v>
      </c>
      <c r="L93" s="110">
        <v>5.617265650346889</v>
      </c>
      <c r="M93" s="110">
        <v>5.7871069458679107</v>
      </c>
      <c r="N93" s="110">
        <v>5.9846859221397812</v>
      </c>
      <c r="O93" s="110">
        <v>6.1432698104185306</v>
      </c>
      <c r="P93" s="110">
        <v>6.3013012969477389</v>
      </c>
      <c r="Q93" s="110">
        <v>6.4574021107477533</v>
      </c>
      <c r="R93" s="110">
        <v>6.6104990187533357</v>
      </c>
      <c r="S93" s="110">
        <v>6.7605230840215205</v>
      </c>
      <c r="T93" s="110">
        <v>6.9079069588291508</v>
      </c>
      <c r="U93" s="110">
        <v>7.0533627088420845</v>
      </c>
      <c r="V93" s="110">
        <v>7.1973706442023424</v>
      </c>
    </row>
    <row r="94" spans="1:22" ht="16.5" x14ac:dyDescent="0.3">
      <c r="A94" t="s">
        <v>149</v>
      </c>
      <c r="B94" t="s">
        <v>41</v>
      </c>
      <c r="C94" t="s">
        <v>222</v>
      </c>
      <c r="F94" s="17"/>
      <c r="H94" s="110">
        <v>9.6</v>
      </c>
      <c r="I94" s="110">
        <v>9.6629232672960743</v>
      </c>
      <c r="J94" s="110">
        <v>9.765939197327242</v>
      </c>
      <c r="K94" s="110">
        <v>9.9239781036131944</v>
      </c>
      <c r="L94" s="110">
        <v>10.077596954911476</v>
      </c>
      <c r="M94" s="110">
        <v>10.316247566664735</v>
      </c>
      <c r="N94" s="110">
        <v>10.625583088202033</v>
      </c>
      <c r="O94" s="110">
        <v>10.717932161975332</v>
      </c>
      <c r="P94" s="110">
        <v>10.808509946507973</v>
      </c>
      <c r="Q94" s="110">
        <v>10.897007463194113</v>
      </c>
      <c r="R94" s="110">
        <v>10.985208890164769</v>
      </c>
      <c r="S94" s="110">
        <v>11.074421217206583</v>
      </c>
      <c r="T94" s="110">
        <v>11.165288959686833</v>
      </c>
      <c r="U94" s="110">
        <v>11.257982139141129</v>
      </c>
      <c r="V94" s="110">
        <v>11.35332617081195</v>
      </c>
    </row>
    <row r="95" spans="1:22" ht="16.5" x14ac:dyDescent="0.3">
      <c r="A95" t="s">
        <v>112</v>
      </c>
      <c r="B95" t="s">
        <v>3</v>
      </c>
      <c r="C95" t="s">
        <v>221</v>
      </c>
      <c r="F95" s="17"/>
      <c r="H95" s="110">
        <v>2</v>
      </c>
      <c r="I95" s="110">
        <v>1.9272044543051656</v>
      </c>
      <c r="J95" s="110">
        <v>2.2480883890177092</v>
      </c>
      <c r="K95" s="110">
        <v>2.3707095909831448</v>
      </c>
      <c r="L95" s="110">
        <v>2.3373227500036124</v>
      </c>
      <c r="M95" s="110">
        <v>2.3484331348749561</v>
      </c>
      <c r="N95" s="110">
        <v>2.3533850165753964</v>
      </c>
      <c r="O95" s="110">
        <v>2.3541414643547296</v>
      </c>
      <c r="P95" s="110">
        <v>2.3557980447452254</v>
      </c>
      <c r="Q95" s="110">
        <v>2.3581029158626987</v>
      </c>
      <c r="R95" s="110">
        <v>2.3608517204832591</v>
      </c>
      <c r="S95" s="110">
        <v>2.3639023419494651</v>
      </c>
      <c r="T95" s="110">
        <v>2.3672622458356658</v>
      </c>
      <c r="U95" s="110">
        <v>2.3709243329246448</v>
      </c>
      <c r="V95" s="110">
        <v>2.3747495228412276</v>
      </c>
    </row>
    <row r="96" spans="1:22" ht="16.5" x14ac:dyDescent="0.3">
      <c r="A96" t="s">
        <v>113</v>
      </c>
      <c r="B96" t="s">
        <v>3</v>
      </c>
      <c r="C96" t="s">
        <v>222</v>
      </c>
      <c r="F96" s="17"/>
      <c r="H96" s="110">
        <v>11.6</v>
      </c>
      <c r="I96" s="110">
        <v>11.561317301415821</v>
      </c>
      <c r="J96" s="110">
        <v>11.633631073168536</v>
      </c>
      <c r="K96" s="110">
        <v>11.796055487353247</v>
      </c>
      <c r="L96" s="110">
        <v>12.105113024119158</v>
      </c>
      <c r="M96" s="110">
        <v>12.451306591637788</v>
      </c>
      <c r="N96" s="110">
        <v>12.854472724578986</v>
      </c>
      <c r="O96" s="110">
        <v>12.958294368365445</v>
      </c>
      <c r="P96" s="110">
        <v>13.056995997122188</v>
      </c>
      <c r="Q96" s="110">
        <v>13.151002464503337</v>
      </c>
      <c r="R96" s="110">
        <v>13.242093514313778</v>
      </c>
      <c r="S96" s="110">
        <v>13.331787609000994</v>
      </c>
      <c r="T96" s="110">
        <v>13.421604548519035</v>
      </c>
      <c r="U96" s="110">
        <v>13.512477905280626</v>
      </c>
      <c r="V96" s="110">
        <v>13.605434786438172</v>
      </c>
    </row>
    <row r="97" spans="1:22" ht="16.5" x14ac:dyDescent="0.3">
      <c r="A97" t="s">
        <v>165</v>
      </c>
      <c r="B97" t="s">
        <v>56</v>
      </c>
      <c r="C97" t="s">
        <v>222</v>
      </c>
      <c r="F97" s="17"/>
      <c r="H97" s="110">
        <v>22.639999999999997</v>
      </c>
      <c r="I97" s="110">
        <v>18.288766288997028</v>
      </c>
      <c r="J97" s="110">
        <v>18.641991683660276</v>
      </c>
      <c r="K97" s="110">
        <v>18.875004869260401</v>
      </c>
      <c r="L97" s="110">
        <v>19.149716642122868</v>
      </c>
      <c r="M97" s="110">
        <v>19.270080090621502</v>
      </c>
      <c r="N97" s="110">
        <v>19.771230843549613</v>
      </c>
      <c r="O97" s="110">
        <v>19.929090876486416</v>
      </c>
      <c r="P97" s="110">
        <v>20.079642179227537</v>
      </c>
      <c r="Q97" s="110">
        <v>20.227387072149885</v>
      </c>
      <c r="R97" s="110">
        <v>20.375870608874372</v>
      </c>
      <c r="S97" s="110">
        <v>20.526849665105324</v>
      </c>
      <c r="T97" s="110">
        <v>20.681140206644983</v>
      </c>
      <c r="U97" s="110">
        <v>20.839192091106945</v>
      </c>
      <c r="V97" s="110">
        <v>21.003958423029911</v>
      </c>
    </row>
    <row r="98" spans="1:22" ht="16.5" x14ac:dyDescent="0.3">
      <c r="A98" t="s">
        <v>131</v>
      </c>
      <c r="B98" t="s">
        <v>23</v>
      </c>
      <c r="C98" t="s">
        <v>221</v>
      </c>
      <c r="F98" s="17"/>
      <c r="H98" s="110">
        <v>2</v>
      </c>
      <c r="I98" s="110">
        <v>3.0825795378372951</v>
      </c>
      <c r="J98" s="110">
        <v>5.1200234250462193</v>
      </c>
      <c r="K98" s="110">
        <v>6.3819511138214891</v>
      </c>
      <c r="L98" s="110">
        <v>6.2943820341660777</v>
      </c>
      <c r="M98" s="110">
        <v>6.1870038901605078</v>
      </c>
      <c r="N98" s="110">
        <v>6.1164475815647164</v>
      </c>
      <c r="O98" s="110">
        <v>6.0484570371410955</v>
      </c>
      <c r="P98" s="110">
        <v>5.98081271727564</v>
      </c>
      <c r="Q98" s="110">
        <v>5.9134547053754725</v>
      </c>
      <c r="R98" s="110">
        <v>5.8470109632682874</v>
      </c>
      <c r="S98" s="110">
        <v>5.7815500050188842</v>
      </c>
      <c r="T98" s="110">
        <v>5.7167384636443437</v>
      </c>
      <c r="U98" s="110">
        <v>5.6522057226888336</v>
      </c>
      <c r="V98" s="110">
        <v>5.5875699144862683</v>
      </c>
    </row>
    <row r="99" spans="1:22" ht="16.5" x14ac:dyDescent="0.3">
      <c r="A99" t="s">
        <v>132</v>
      </c>
      <c r="B99" t="s">
        <v>23</v>
      </c>
      <c r="C99" t="s">
        <v>221</v>
      </c>
      <c r="F99" s="17"/>
      <c r="H99" s="110">
        <v>4.2300000000000004</v>
      </c>
      <c r="I99" s="110">
        <v>3.7702626388284135</v>
      </c>
      <c r="J99" s="110">
        <v>3.8585282135157333</v>
      </c>
      <c r="K99" s="110">
        <v>3.9053293794957868</v>
      </c>
      <c r="L99" s="110">
        <v>3.9180049532838472</v>
      </c>
      <c r="M99" s="110">
        <v>3.9899299662891452</v>
      </c>
      <c r="N99" s="110">
        <v>4.0749678899707673</v>
      </c>
      <c r="O99" s="110">
        <v>4.0886426333313297</v>
      </c>
      <c r="P99" s="110">
        <v>4.1028640143461432</v>
      </c>
      <c r="Q99" s="110">
        <v>4.1176134204892172</v>
      </c>
      <c r="R99" s="110">
        <v>4.1327884682757645</v>
      </c>
      <c r="S99" s="110">
        <v>4.1483747557756629</v>
      </c>
      <c r="T99" s="110">
        <v>4.1641768095603124</v>
      </c>
      <c r="U99" s="110">
        <v>4.1800338457287598</v>
      </c>
      <c r="V99" s="110">
        <v>4.1959419510574927</v>
      </c>
    </row>
    <row r="100" spans="1:22" ht="16.5" x14ac:dyDescent="0.3">
      <c r="A100" t="s">
        <v>150</v>
      </c>
      <c r="B100" t="s">
        <v>41</v>
      </c>
      <c r="C100" t="s">
        <v>224</v>
      </c>
      <c r="F100" s="17"/>
      <c r="H100" s="110">
        <v>11.7</v>
      </c>
      <c r="I100" s="110">
        <v>13.940752246124649</v>
      </c>
      <c r="J100" s="110">
        <v>14.215957962604621</v>
      </c>
      <c r="K100" s="110">
        <v>14.56645916404338</v>
      </c>
      <c r="L100" s="110">
        <v>15.150137428638054</v>
      </c>
      <c r="M100" s="110">
        <v>15.605476045049677</v>
      </c>
      <c r="N100" s="110">
        <v>16.475129455876786</v>
      </c>
      <c r="O100" s="110">
        <v>17.123339392761661</v>
      </c>
      <c r="P100" s="110">
        <v>17.774581591474714</v>
      </c>
      <c r="Q100" s="110">
        <v>18.428367641882183</v>
      </c>
      <c r="R100" s="110">
        <v>19.07266490225074</v>
      </c>
      <c r="S100" s="110">
        <v>19.705778464516932</v>
      </c>
      <c r="T100" s="110">
        <v>20.326938073242747</v>
      </c>
      <c r="U100" s="110">
        <v>20.93357305062014</v>
      </c>
      <c r="V100" s="110">
        <v>21.519285129198728</v>
      </c>
    </row>
    <row r="101" spans="1:22" ht="16.5" x14ac:dyDescent="0.3">
      <c r="A101" t="s">
        <v>151</v>
      </c>
      <c r="B101" t="s">
        <v>41</v>
      </c>
      <c r="C101" t="s">
        <v>224</v>
      </c>
      <c r="F101" s="17"/>
      <c r="H101" s="110">
        <v>35.33</v>
      </c>
      <c r="I101" s="110">
        <v>40.402243800574539</v>
      </c>
      <c r="J101" s="110">
        <v>40.795026403887718</v>
      </c>
      <c r="K101" s="110">
        <v>41.413019516648497</v>
      </c>
      <c r="L101" s="110">
        <v>42.309225953378764</v>
      </c>
      <c r="M101" s="110">
        <v>43.296407825243087</v>
      </c>
      <c r="N101" s="110">
        <v>44.833250514529119</v>
      </c>
      <c r="O101" s="110">
        <v>46.091123597493123</v>
      </c>
      <c r="P101" s="110">
        <v>47.325825353389604</v>
      </c>
      <c r="Q101" s="110">
        <v>48.540309848499291</v>
      </c>
      <c r="R101" s="110">
        <v>49.724043379716427</v>
      </c>
      <c r="S101" s="110">
        <v>50.886401261067235</v>
      </c>
      <c r="T101" s="110">
        <v>52.026755761323024</v>
      </c>
      <c r="U101" s="110">
        <v>53.135681225550812</v>
      </c>
      <c r="V101" s="110">
        <v>54.21027160626047</v>
      </c>
    </row>
    <row r="102" spans="1:22" ht="16.5" x14ac:dyDescent="0.3">
      <c r="A102" t="s">
        <v>133</v>
      </c>
      <c r="B102" t="s">
        <v>23</v>
      </c>
      <c r="C102" t="s">
        <v>221</v>
      </c>
      <c r="F102" s="17"/>
      <c r="H102" s="110">
        <v>1.2</v>
      </c>
      <c r="I102" s="110">
        <v>1.4092497242907582</v>
      </c>
      <c r="J102" s="110">
        <v>1.5656630400705738</v>
      </c>
      <c r="K102" s="110">
        <v>1.67068070957171</v>
      </c>
      <c r="L102" s="110">
        <v>1.6608626368406481</v>
      </c>
      <c r="M102" s="110">
        <v>1.6671930127064785</v>
      </c>
      <c r="N102" s="110">
        <v>1.6824834384347624</v>
      </c>
      <c r="O102" s="110">
        <v>1.687324401047757</v>
      </c>
      <c r="P102" s="110">
        <v>1.6923125489054454</v>
      </c>
      <c r="Q102" s="110">
        <v>1.6973119636495548</v>
      </c>
      <c r="R102" s="110">
        <v>1.7023429474559797</v>
      </c>
      <c r="S102" s="110">
        <v>1.7074767505220558</v>
      </c>
      <c r="T102" s="110">
        <v>1.7126360611470903</v>
      </c>
      <c r="U102" s="110">
        <v>1.7177100343262213</v>
      </c>
      <c r="V102" s="110">
        <v>1.7226549150473727</v>
      </c>
    </row>
    <row r="103" spans="1:22" ht="16.5" x14ac:dyDescent="0.3">
      <c r="A103" t="s">
        <v>166</v>
      </c>
      <c r="B103" t="s">
        <v>56</v>
      </c>
      <c r="C103" t="s">
        <v>221</v>
      </c>
      <c r="F103" s="17"/>
      <c r="H103" s="110">
        <v>1.5</v>
      </c>
      <c r="I103" s="110">
        <v>1.4504031001522131</v>
      </c>
      <c r="J103" s="110">
        <v>1.4384925627965055</v>
      </c>
      <c r="K103" s="110">
        <v>1.4107124583104325</v>
      </c>
      <c r="L103" s="110">
        <v>1.4080192582352382</v>
      </c>
      <c r="M103" s="110">
        <v>1.4135850859128194</v>
      </c>
      <c r="N103" s="110">
        <v>1.4148253794135617</v>
      </c>
      <c r="O103" s="110">
        <v>1.4135354397132271</v>
      </c>
      <c r="P103" s="110">
        <v>1.4126692633206666</v>
      </c>
      <c r="Q103" s="110">
        <v>1.412156169940187</v>
      </c>
      <c r="R103" s="110">
        <v>1.4120047994367526</v>
      </c>
      <c r="S103" s="110">
        <v>1.4121744409203867</v>
      </c>
      <c r="T103" s="110">
        <v>1.4125798285896052</v>
      </c>
      <c r="U103" s="110">
        <v>1.4131461712188704</v>
      </c>
      <c r="V103" s="110">
        <v>1.4138277031282107</v>
      </c>
    </row>
    <row r="104" spans="1:22" ht="16.5" x14ac:dyDescent="0.3">
      <c r="A104" t="s">
        <v>167</v>
      </c>
      <c r="B104" t="s">
        <v>56</v>
      </c>
      <c r="C104" t="s">
        <v>221</v>
      </c>
      <c r="F104" s="17"/>
      <c r="H104" s="110">
        <v>1.61</v>
      </c>
      <c r="I104" s="110">
        <v>1.5022184764512956</v>
      </c>
      <c r="J104" s="110">
        <v>1.6180826528486782</v>
      </c>
      <c r="K104" s="110">
        <v>1.7077114410019429</v>
      </c>
      <c r="L104" s="110">
        <v>1.7107858981812316</v>
      </c>
      <c r="M104" s="110">
        <v>1.6644569210361202</v>
      </c>
      <c r="N104" s="110">
        <v>1.6734675245279529</v>
      </c>
      <c r="O104" s="110">
        <v>1.6636848233018851</v>
      </c>
      <c r="P104" s="110">
        <v>1.6540351219618183</v>
      </c>
      <c r="Q104" s="110">
        <v>1.6444424805065556</v>
      </c>
      <c r="R104" s="110">
        <v>1.6348698168702052</v>
      </c>
      <c r="S104" s="110">
        <v>1.6253189403855439</v>
      </c>
      <c r="T104" s="110">
        <v>1.6157669123698208</v>
      </c>
      <c r="U104" s="110">
        <v>1.6062028315300292</v>
      </c>
      <c r="V104" s="110">
        <v>1.596638626048168</v>
      </c>
    </row>
    <row r="105" spans="1:22" ht="16.5" x14ac:dyDescent="0.3">
      <c r="A105" t="s">
        <v>134</v>
      </c>
      <c r="B105" t="s">
        <v>23</v>
      </c>
      <c r="C105" t="s">
        <v>222</v>
      </c>
      <c r="F105" s="17"/>
      <c r="H105" s="110">
        <v>15.1</v>
      </c>
      <c r="I105" s="110">
        <v>17.395527024503011</v>
      </c>
      <c r="J105" s="110">
        <v>17.937182140390171</v>
      </c>
      <c r="K105" s="110">
        <v>18.466231045119795</v>
      </c>
      <c r="L105" s="110">
        <v>18.996827087073019</v>
      </c>
      <c r="M105" s="110">
        <v>19.324633121278804</v>
      </c>
      <c r="N105" s="110">
        <v>19.994648785609527</v>
      </c>
      <c r="O105" s="110">
        <v>20.295864486334565</v>
      </c>
      <c r="P105" s="110">
        <v>20.588053572948816</v>
      </c>
      <c r="Q105" s="110">
        <v>20.876410451589841</v>
      </c>
      <c r="R105" s="110">
        <v>21.167476372815678</v>
      </c>
      <c r="S105" s="110">
        <v>21.458162958899468</v>
      </c>
      <c r="T105" s="110">
        <v>21.7528831034662</v>
      </c>
      <c r="U105" s="110">
        <v>22.051352083355614</v>
      </c>
      <c r="V105" s="110">
        <v>22.354864114317085</v>
      </c>
    </row>
    <row r="106" spans="1:22" ht="16.5" x14ac:dyDescent="0.3">
      <c r="A106" t="s">
        <v>152</v>
      </c>
      <c r="B106" t="s">
        <v>41</v>
      </c>
      <c r="C106" t="s">
        <v>221</v>
      </c>
      <c r="F106" s="17"/>
      <c r="H106" s="110">
        <v>6.2</v>
      </c>
      <c r="I106" s="110">
        <v>6.2526727742320718</v>
      </c>
      <c r="J106" s="110">
        <v>6.8970965415960448</v>
      </c>
      <c r="K106" s="110">
        <v>7.4530859049501057</v>
      </c>
      <c r="L106" s="110">
        <v>7.6298725011447139</v>
      </c>
      <c r="M106" s="110">
        <v>7.8034311753631798</v>
      </c>
      <c r="N106" s="110">
        <v>7.9692675556208705</v>
      </c>
      <c r="O106" s="110">
        <v>8.0585564228926518</v>
      </c>
      <c r="P106" s="110">
        <v>8.1463639302045454</v>
      </c>
      <c r="Q106" s="110">
        <v>8.2329709115896534</v>
      </c>
      <c r="R106" s="110">
        <v>8.3181765356731585</v>
      </c>
      <c r="S106" s="110">
        <v>8.4028380367103175</v>
      </c>
      <c r="T106" s="110">
        <v>8.4873454480405695</v>
      </c>
      <c r="U106" s="110">
        <v>8.5720222385135116</v>
      </c>
      <c r="V106" s="110">
        <v>8.6568090683150718</v>
      </c>
    </row>
    <row r="107" spans="1:22" ht="16.5" x14ac:dyDescent="0.3">
      <c r="A107" t="s">
        <v>153</v>
      </c>
      <c r="B107" t="s">
        <v>41</v>
      </c>
      <c r="C107" t="s">
        <v>222</v>
      </c>
      <c r="F107" s="17"/>
      <c r="H107" s="110">
        <v>18.600000000000001</v>
      </c>
      <c r="I107" s="110">
        <v>19.857195094859517</v>
      </c>
      <c r="J107" s="110">
        <v>20.20034450558828</v>
      </c>
      <c r="K107" s="110">
        <v>20.472303788288464</v>
      </c>
      <c r="L107" s="110">
        <v>20.821791040036175</v>
      </c>
      <c r="M107" s="110">
        <v>21.131556932367978</v>
      </c>
      <c r="N107" s="110">
        <v>21.645564393659509</v>
      </c>
      <c r="O107" s="110">
        <v>21.819245945685111</v>
      </c>
      <c r="P107" s="110">
        <v>21.99502994897404</v>
      </c>
      <c r="Q107" s="110">
        <v>22.170404731021382</v>
      </c>
      <c r="R107" s="110">
        <v>22.352342317265769</v>
      </c>
      <c r="S107" s="110">
        <v>22.539534482087518</v>
      </c>
      <c r="T107" s="110">
        <v>22.731914245637924</v>
      </c>
      <c r="U107" s="110">
        <v>22.929097621516021</v>
      </c>
      <c r="V107" s="110">
        <v>23.134366969273799</v>
      </c>
    </row>
    <row r="108" spans="1:22" ht="16.5" x14ac:dyDescent="0.3">
      <c r="A108" t="s">
        <v>135</v>
      </c>
      <c r="B108" t="s">
        <v>23</v>
      </c>
      <c r="C108" t="s">
        <v>221</v>
      </c>
      <c r="F108" s="17"/>
      <c r="H108" s="110">
        <v>1.6</v>
      </c>
      <c r="I108" s="110">
        <v>1.2920355045847978</v>
      </c>
      <c r="J108" s="110">
        <v>1.5757582663542424</v>
      </c>
      <c r="K108" s="110">
        <v>1.7460684942674913</v>
      </c>
      <c r="L108" s="110">
        <v>1.7242324537253992</v>
      </c>
      <c r="M108" s="110">
        <v>1.710803851795456</v>
      </c>
      <c r="N108" s="110">
        <v>1.6947241919443528</v>
      </c>
      <c r="O108" s="110">
        <v>1.6809263207018932</v>
      </c>
      <c r="P108" s="110">
        <v>1.6673332106525629</v>
      </c>
      <c r="Q108" s="110">
        <v>1.6538609598494078</v>
      </c>
      <c r="R108" s="110">
        <v>1.6406090675460543</v>
      </c>
      <c r="S108" s="110">
        <v>1.6276641933059099</v>
      </c>
      <c r="T108" s="110">
        <v>1.6150152406678657</v>
      </c>
      <c r="U108" s="110">
        <v>1.6025196560021953</v>
      </c>
      <c r="V108" s="110">
        <v>1.5901022769397308</v>
      </c>
    </row>
    <row r="109" spans="1:22" x14ac:dyDescent="0.3">
      <c r="A109" t="s">
        <v>154</v>
      </c>
      <c r="B109" t="s">
        <v>41</v>
      </c>
      <c r="C109" t="s">
        <v>222</v>
      </c>
      <c r="F109" s="17"/>
      <c r="H109" s="110">
        <v>16</v>
      </c>
      <c r="I109" s="110">
        <v>15.989770488853962</v>
      </c>
      <c r="J109" s="110">
        <v>16.290644660120773</v>
      </c>
      <c r="K109" s="110">
        <v>16.540973191834734</v>
      </c>
      <c r="L109" s="110">
        <v>16.919387685583889</v>
      </c>
      <c r="M109" s="110">
        <v>17.308311367970262</v>
      </c>
      <c r="N109" s="110">
        <v>17.859303206236635</v>
      </c>
      <c r="O109" s="110">
        <v>18.013484297457648</v>
      </c>
      <c r="P109" s="110">
        <v>18.168843405545331</v>
      </c>
      <c r="Q109" s="110">
        <v>18.32506657112468</v>
      </c>
      <c r="R109" s="110">
        <v>18.483812739787123</v>
      </c>
      <c r="S109" s="110">
        <v>18.645877024251551</v>
      </c>
      <c r="T109" s="110">
        <v>18.811528460163085</v>
      </c>
      <c r="U109" s="110">
        <v>18.980323297360091</v>
      </c>
      <c r="V109" s="110">
        <v>19.153390778375609</v>
      </c>
    </row>
    <row r="110" spans="1:22" x14ac:dyDescent="0.3">
      <c r="A110" t="s">
        <v>168</v>
      </c>
      <c r="B110" t="s">
        <v>56</v>
      </c>
      <c r="C110" t="s">
        <v>221</v>
      </c>
      <c r="F110" s="17"/>
      <c r="H110" s="110">
        <v>1.6</v>
      </c>
      <c r="I110" s="110">
        <v>1.9565157343194117</v>
      </c>
      <c r="J110" s="110">
        <v>2.1439650363420433</v>
      </c>
      <c r="K110" s="110">
        <v>2.2637183469109701</v>
      </c>
      <c r="L110" s="110">
        <v>2.2862947098298516</v>
      </c>
      <c r="M110" s="110">
        <v>2.3240262550202981</v>
      </c>
      <c r="N110" s="110">
        <v>2.3373814577003023</v>
      </c>
      <c r="O110" s="110">
        <v>2.3306942213182578</v>
      </c>
      <c r="P110" s="110">
        <v>2.3243056198516947</v>
      </c>
      <c r="Q110" s="110">
        <v>2.3181333691530819</v>
      </c>
      <c r="R110" s="110">
        <v>2.3121646640961373</v>
      </c>
      <c r="S110" s="110">
        <v>2.3063952891920172</v>
      </c>
      <c r="T110" s="110">
        <v>2.3007616435909539</v>
      </c>
      <c r="U110" s="110">
        <v>2.2951929699894227</v>
      </c>
      <c r="V110" s="110">
        <v>2.2896936454809245</v>
      </c>
    </row>
    <row r="111" spans="1:22" x14ac:dyDescent="0.3">
      <c r="A111" t="s">
        <v>169</v>
      </c>
      <c r="B111" t="s">
        <v>56</v>
      </c>
      <c r="C111" t="s">
        <v>221</v>
      </c>
      <c r="F111" s="17"/>
      <c r="H111" s="110">
        <v>2</v>
      </c>
      <c r="I111" s="110">
        <v>1.9464573945431694</v>
      </c>
      <c r="J111" s="110">
        <v>2.0493937015419434</v>
      </c>
      <c r="K111" s="110">
        <v>2.1169437856541657</v>
      </c>
      <c r="L111" s="110">
        <v>2.1317238618001806</v>
      </c>
      <c r="M111" s="110">
        <v>2.1923605726873561</v>
      </c>
      <c r="N111" s="110">
        <v>2.2632613827493122</v>
      </c>
      <c r="O111" s="110">
        <v>2.3125045932529984</v>
      </c>
      <c r="P111" s="110">
        <v>2.362199780861896</v>
      </c>
      <c r="Q111" s="110">
        <v>2.4122280773426952</v>
      </c>
      <c r="R111" s="110">
        <v>2.4628055630052073</v>
      </c>
      <c r="S111" s="110">
        <v>2.5138597024444311</v>
      </c>
      <c r="T111" s="110">
        <v>2.5652901607275806</v>
      </c>
      <c r="U111" s="110">
        <v>2.6169862906553845</v>
      </c>
      <c r="V111" s="110">
        <v>2.6689255299433854</v>
      </c>
    </row>
    <row r="112" spans="1:22" x14ac:dyDescent="0.3">
      <c r="A112" t="s">
        <v>136</v>
      </c>
      <c r="B112" t="s">
        <v>23</v>
      </c>
      <c r="C112" t="s">
        <v>221</v>
      </c>
      <c r="F112" s="17"/>
      <c r="H112" s="110">
        <v>14.35</v>
      </c>
      <c r="I112" s="110">
        <v>13.925043203986531</v>
      </c>
      <c r="J112" s="110">
        <v>14.047081495447896</v>
      </c>
      <c r="K112" s="110">
        <v>14.261813681279198</v>
      </c>
      <c r="L112" s="110">
        <v>14.440454122160626</v>
      </c>
      <c r="M112" s="110">
        <v>14.883062340144376</v>
      </c>
      <c r="N112" s="110">
        <v>15.440911332731556</v>
      </c>
      <c r="O112" s="110">
        <v>15.728811982032136</v>
      </c>
      <c r="P112" s="110">
        <v>16.016669768271239</v>
      </c>
      <c r="Q112" s="110">
        <v>16.306071690054729</v>
      </c>
      <c r="R112" s="110">
        <v>16.596742882876232</v>
      </c>
      <c r="S112" s="110">
        <v>16.888809243081859</v>
      </c>
      <c r="T112" s="110">
        <v>17.182134468682396</v>
      </c>
      <c r="U112" s="110">
        <v>17.476246053807685</v>
      </c>
      <c r="V112" s="110">
        <v>17.771027569520264</v>
      </c>
    </row>
    <row r="113" spans="1:22" x14ac:dyDescent="0.3">
      <c r="A113" t="s">
        <v>155</v>
      </c>
      <c r="B113" t="s">
        <v>41</v>
      </c>
      <c r="C113" t="s">
        <v>222</v>
      </c>
      <c r="F113" s="17"/>
      <c r="H113" s="110">
        <v>25.07</v>
      </c>
      <c r="I113" s="110">
        <v>24.758467376552005</v>
      </c>
      <c r="J113" s="110">
        <v>25.725613683119789</v>
      </c>
      <c r="K113" s="110">
        <v>26.507668733345774</v>
      </c>
      <c r="L113" s="110">
        <v>26.888398649071384</v>
      </c>
      <c r="M113" s="110">
        <v>27.290236820253504</v>
      </c>
      <c r="N113" s="110">
        <v>28.083678763234882</v>
      </c>
      <c r="O113" s="110">
        <v>28.506543653268835</v>
      </c>
      <c r="P113" s="110">
        <v>28.910226957013798</v>
      </c>
      <c r="Q113" s="110">
        <v>29.304444057196246</v>
      </c>
      <c r="R113" s="110">
        <v>29.696599794302625</v>
      </c>
      <c r="S113" s="110">
        <v>30.08961712807481</v>
      </c>
      <c r="T113" s="110">
        <v>30.48596669438491</v>
      </c>
      <c r="U113" s="110">
        <v>30.885358195515689</v>
      </c>
      <c r="V113" s="110">
        <v>31.291943761713391</v>
      </c>
    </row>
    <row r="114" spans="1:22" x14ac:dyDescent="0.3">
      <c r="A114" t="s">
        <v>170</v>
      </c>
      <c r="B114" t="s">
        <v>56</v>
      </c>
      <c r="C114" t="s">
        <v>221</v>
      </c>
      <c r="F114" s="17"/>
      <c r="H114" s="110">
        <v>27.9</v>
      </c>
      <c r="I114" s="110">
        <v>27.370541294723623</v>
      </c>
      <c r="J114" s="110">
        <v>27.591641049785299</v>
      </c>
      <c r="K114" s="110">
        <v>27.746300844278277</v>
      </c>
      <c r="L114" s="110">
        <v>27.888394960549991</v>
      </c>
      <c r="M114" s="110">
        <v>28.107609053628316</v>
      </c>
      <c r="N114" s="110">
        <v>28.884497140806459</v>
      </c>
      <c r="O114" s="110">
        <v>29.351156206719505</v>
      </c>
      <c r="P114" s="110">
        <v>29.82296135429193</v>
      </c>
      <c r="Q114" s="110">
        <v>30.299735421058319</v>
      </c>
      <c r="R114" s="110">
        <v>30.782313005247794</v>
      </c>
      <c r="S114" s="110">
        <v>31.271870891493382</v>
      </c>
      <c r="T114" s="110">
        <v>31.768072452685761</v>
      </c>
      <c r="U114" s="110">
        <v>32.270416895991289</v>
      </c>
      <c r="V114" s="110">
        <v>32.77912620800732</v>
      </c>
    </row>
    <row r="115" spans="1:22" x14ac:dyDescent="0.3">
      <c r="A115" t="s">
        <v>114</v>
      </c>
      <c r="B115" t="s">
        <v>3</v>
      </c>
      <c r="C115" t="s">
        <v>221</v>
      </c>
      <c r="F115" s="17"/>
      <c r="H115" s="110">
        <v>8.9699999999999989</v>
      </c>
      <c r="I115" s="110">
        <v>8.943461700764308</v>
      </c>
      <c r="J115" s="110">
        <v>9.2271467861423453</v>
      </c>
      <c r="K115" s="110">
        <v>9.3916792221849299</v>
      </c>
      <c r="L115" s="110">
        <v>9.5915312105931054</v>
      </c>
      <c r="M115" s="110">
        <v>9.8180823368174472</v>
      </c>
      <c r="N115" s="110">
        <v>10.102358885020637</v>
      </c>
      <c r="O115" s="110">
        <v>10.204797288049964</v>
      </c>
      <c r="P115" s="110">
        <v>10.307742599434475</v>
      </c>
      <c r="Q115" s="110">
        <v>10.410679093989906</v>
      </c>
      <c r="R115" s="110">
        <v>10.512599798873707</v>
      </c>
      <c r="S115" s="110">
        <v>10.614207704793301</v>
      </c>
      <c r="T115" s="110">
        <v>10.715580890464235</v>
      </c>
      <c r="U115" s="110">
        <v>10.816821884910519</v>
      </c>
      <c r="V115" s="110">
        <v>10.918126393819165</v>
      </c>
    </row>
    <row r="116" spans="1:22" x14ac:dyDescent="0.3">
      <c r="A116" t="s">
        <v>171</v>
      </c>
      <c r="B116" t="s">
        <v>56</v>
      </c>
      <c r="C116" t="s">
        <v>221</v>
      </c>
      <c r="F116" s="17"/>
      <c r="H116" s="110">
        <v>1.5</v>
      </c>
      <c r="I116" s="110">
        <v>1.8875640239890723</v>
      </c>
      <c r="J116" s="110">
        <v>2.1605226959989774</v>
      </c>
      <c r="K116" s="110">
        <v>2.3242876120834919</v>
      </c>
      <c r="L116" s="110">
        <v>2.3514886309532712</v>
      </c>
      <c r="M116" s="110">
        <v>2.406389785769862</v>
      </c>
      <c r="N116" s="110">
        <v>2.446989841965022</v>
      </c>
      <c r="O116" s="110">
        <v>2.4648262817640769</v>
      </c>
      <c r="P116" s="110">
        <v>2.4832959397123289</v>
      </c>
      <c r="Q116" s="110">
        <v>2.5020982816438941</v>
      </c>
      <c r="R116" s="110">
        <v>2.5211668880363711</v>
      </c>
      <c r="S116" s="110">
        <v>2.5403768962153626</v>
      </c>
      <c r="T116" s="110">
        <v>2.5595912509838077</v>
      </c>
      <c r="U116" s="110">
        <v>2.5786604260683057</v>
      </c>
      <c r="V116" s="110">
        <v>2.5975292585992737</v>
      </c>
    </row>
    <row r="117" spans="1:22" x14ac:dyDescent="0.3">
      <c r="A117" t="s">
        <v>172</v>
      </c>
      <c r="B117" t="s">
        <v>56</v>
      </c>
      <c r="C117" t="s">
        <v>221</v>
      </c>
      <c r="F117" s="17"/>
      <c r="H117" s="110">
        <v>0.8</v>
      </c>
      <c r="I117" s="110">
        <v>1.6047839920219507</v>
      </c>
      <c r="J117" s="110">
        <v>2.2455617078641739</v>
      </c>
      <c r="K117" s="110">
        <v>2.5305602905208784</v>
      </c>
      <c r="L117" s="110">
        <v>2.4705401828848514</v>
      </c>
      <c r="M117" s="110">
        <v>2.4563054413527015</v>
      </c>
      <c r="N117" s="110">
        <v>2.4195540213978832</v>
      </c>
      <c r="O117" s="110">
        <v>2.3959202018505801</v>
      </c>
      <c r="P117" s="110">
        <v>2.3725535658603114</v>
      </c>
      <c r="Q117" s="110">
        <v>2.3492202687357171</v>
      </c>
      <c r="R117" s="110">
        <v>2.3260783145473805</v>
      </c>
      <c r="S117" s="110">
        <v>2.3030686131630458</v>
      </c>
      <c r="T117" s="110">
        <v>2.2801504464954054</v>
      </c>
      <c r="U117" s="110">
        <v>2.2572630625048653</v>
      </c>
      <c r="V117" s="110">
        <v>2.2343254831206854</v>
      </c>
    </row>
    <row r="118" spans="1:22" x14ac:dyDescent="0.3">
      <c r="A118" t="s">
        <v>173</v>
      </c>
      <c r="B118" t="s">
        <v>56</v>
      </c>
      <c r="C118" t="s">
        <v>222</v>
      </c>
      <c r="F118" s="17"/>
      <c r="H118" s="110">
        <v>12.2</v>
      </c>
      <c r="I118" s="110">
        <v>12.740726989013492</v>
      </c>
      <c r="J118" s="110">
        <v>13.301548846749965</v>
      </c>
      <c r="K118" s="110">
        <v>13.742225006652149</v>
      </c>
      <c r="L118" s="110">
        <v>14.130938882010042</v>
      </c>
      <c r="M118" s="110">
        <v>14.625111412419409</v>
      </c>
      <c r="N118" s="110">
        <v>15.141515753063857</v>
      </c>
      <c r="O118" s="110">
        <v>15.316114876872488</v>
      </c>
      <c r="P118" s="110">
        <v>15.499156207237533</v>
      </c>
      <c r="Q118" s="110">
        <v>15.683785789244679</v>
      </c>
      <c r="R118" s="110">
        <v>15.868487282213398</v>
      </c>
      <c r="S118" s="110">
        <v>16.049912399653259</v>
      </c>
      <c r="T118" s="110">
        <v>16.223775304425743</v>
      </c>
      <c r="U118" s="110">
        <v>16.385988284477694</v>
      </c>
      <c r="V118" s="110">
        <v>16.537890958312893</v>
      </c>
    </row>
    <row r="119" spans="1:22" x14ac:dyDescent="0.3">
      <c r="A119" t="s">
        <v>174</v>
      </c>
      <c r="B119" t="s">
        <v>56</v>
      </c>
      <c r="C119" t="s">
        <v>221</v>
      </c>
      <c r="F119" s="17"/>
      <c r="H119" s="110">
        <v>2.7</v>
      </c>
      <c r="I119" s="110">
        <v>2.3197087766045805</v>
      </c>
      <c r="J119" s="110">
        <v>2.8378635731535908</v>
      </c>
      <c r="K119" s="110">
        <v>3.1674498572886689</v>
      </c>
      <c r="L119" s="110">
        <v>3.2000741837096895</v>
      </c>
      <c r="M119" s="110">
        <v>3.2173186584831468</v>
      </c>
      <c r="N119" s="110">
        <v>3.2861463596271054</v>
      </c>
      <c r="O119" s="110">
        <v>3.3064979508664978</v>
      </c>
      <c r="P119" s="110">
        <v>3.327053145260904</v>
      </c>
      <c r="Q119" s="110">
        <v>3.3475659566958038</v>
      </c>
      <c r="R119" s="110">
        <v>3.3679924596643169</v>
      </c>
      <c r="S119" s="110">
        <v>3.3884195859531649</v>
      </c>
      <c r="T119" s="110">
        <v>3.4089096076502479</v>
      </c>
      <c r="U119" s="110">
        <v>3.4297937489375734</v>
      </c>
      <c r="V119" s="110">
        <v>3.4511899634514474</v>
      </c>
    </row>
    <row r="120" spans="1:22" x14ac:dyDescent="0.3">
      <c r="A120" t="s">
        <v>137</v>
      </c>
      <c r="B120" t="s">
        <v>23</v>
      </c>
      <c r="C120" t="s">
        <v>224</v>
      </c>
      <c r="F120" s="17"/>
      <c r="H120" s="110">
        <v>24.59</v>
      </c>
      <c r="I120" s="110">
        <v>30.538891011316466</v>
      </c>
      <c r="J120" s="110">
        <v>31.054326165064204</v>
      </c>
      <c r="K120" s="110">
        <v>31.493074456511867</v>
      </c>
      <c r="L120" s="110">
        <v>32.03785613666728</v>
      </c>
      <c r="M120" s="110">
        <v>32.746578455200471</v>
      </c>
      <c r="N120" s="110">
        <v>33.855598802856555</v>
      </c>
      <c r="O120" s="110">
        <v>34.770534771841973</v>
      </c>
      <c r="P120" s="110">
        <v>35.700873237571777</v>
      </c>
      <c r="Q120" s="110">
        <v>36.648039434219072</v>
      </c>
      <c r="R120" s="110">
        <v>37.608833809951584</v>
      </c>
      <c r="S120" s="110">
        <v>38.581105028923794</v>
      </c>
      <c r="T120" s="110">
        <v>39.566896416403608</v>
      </c>
      <c r="U120" s="110">
        <v>40.554317850300372</v>
      </c>
      <c r="V120" s="110">
        <v>41.536224593028791</v>
      </c>
    </row>
    <row r="121" spans="1:22" x14ac:dyDescent="0.3">
      <c r="A121" t="s">
        <v>115</v>
      </c>
      <c r="B121" t="s">
        <v>3</v>
      </c>
      <c r="C121" t="s">
        <v>221</v>
      </c>
      <c r="F121" s="17"/>
      <c r="H121" s="110">
        <v>1.52</v>
      </c>
      <c r="I121" s="110">
        <v>1.506925760558373</v>
      </c>
      <c r="J121" s="110">
        <v>1.8756826628567707</v>
      </c>
      <c r="K121" s="110">
        <v>2.1055113456424288</v>
      </c>
      <c r="L121" s="110">
        <v>2.0911882236479173</v>
      </c>
      <c r="M121" s="110">
        <v>2.0770746924119732</v>
      </c>
      <c r="N121" s="110">
        <v>2.0917703332974034</v>
      </c>
      <c r="O121" s="110">
        <v>2.0987827147853695</v>
      </c>
      <c r="P121" s="110">
        <v>2.1063004960121039</v>
      </c>
      <c r="Q121" s="110">
        <v>2.1142018508664133</v>
      </c>
      <c r="R121" s="110">
        <v>2.1224576726940834</v>
      </c>
      <c r="S121" s="110">
        <v>2.1311788843596569</v>
      </c>
      <c r="T121" s="110">
        <v>2.1403200631378865</v>
      </c>
      <c r="U121" s="110">
        <v>2.1497434858457316</v>
      </c>
      <c r="V121" s="110">
        <v>2.159430756828046</v>
      </c>
    </row>
    <row r="122" spans="1:22" x14ac:dyDescent="0.3">
      <c r="A122" t="s">
        <v>156</v>
      </c>
      <c r="B122" t="s">
        <v>41</v>
      </c>
      <c r="C122" t="s">
        <v>222</v>
      </c>
      <c r="F122" s="17"/>
      <c r="H122" s="110">
        <v>16.2</v>
      </c>
      <c r="I122" s="110">
        <v>16.177004437758818</v>
      </c>
      <c r="J122" s="110">
        <v>16.52899735671734</v>
      </c>
      <c r="K122" s="110">
        <v>16.766404041543151</v>
      </c>
      <c r="L122" s="110">
        <v>17.183963116077326</v>
      </c>
      <c r="M122" s="110">
        <v>17.557772805504726</v>
      </c>
      <c r="N122" s="110">
        <v>18.073518851387281</v>
      </c>
      <c r="O122" s="110">
        <v>18.263913326124566</v>
      </c>
      <c r="P122" s="110">
        <v>18.45211825775192</v>
      </c>
      <c r="Q122" s="110">
        <v>18.638160397726981</v>
      </c>
      <c r="R122" s="110">
        <v>18.826291433227944</v>
      </c>
      <c r="S122" s="110">
        <v>19.017007526696741</v>
      </c>
      <c r="T122" s="110">
        <v>19.210019678096636</v>
      </c>
      <c r="U122" s="110">
        <v>19.405070611477623</v>
      </c>
      <c r="V122" s="110">
        <v>19.604275784778267</v>
      </c>
    </row>
    <row r="123" spans="1:22" x14ac:dyDescent="0.3">
      <c r="A123" t="s">
        <v>116</v>
      </c>
      <c r="B123" t="s">
        <v>3</v>
      </c>
      <c r="C123" t="s">
        <v>222</v>
      </c>
      <c r="F123" s="17"/>
      <c r="H123" s="110">
        <v>16.559999999999999</v>
      </c>
      <c r="I123" s="110">
        <v>17.680249027675387</v>
      </c>
      <c r="J123" s="110">
        <v>17.950135073095442</v>
      </c>
      <c r="K123" s="110">
        <v>18.213278245969395</v>
      </c>
      <c r="L123" s="110">
        <v>18.44982611582974</v>
      </c>
      <c r="M123" s="110">
        <v>18.844625304991258</v>
      </c>
      <c r="N123" s="110">
        <v>19.298644818109935</v>
      </c>
      <c r="O123" s="110">
        <v>19.483946997863981</v>
      </c>
      <c r="P123" s="110">
        <v>19.669267013571051</v>
      </c>
      <c r="Q123" s="110">
        <v>19.853273579471647</v>
      </c>
      <c r="R123" s="110">
        <v>20.038367185828189</v>
      </c>
      <c r="S123" s="110">
        <v>20.224646892096722</v>
      </c>
      <c r="T123" s="110">
        <v>20.412920807075611</v>
      </c>
      <c r="U123" s="110">
        <v>20.60329537278735</v>
      </c>
      <c r="V123" s="110">
        <v>20.798365387728158</v>
      </c>
    </row>
    <row r="124" spans="1:22" x14ac:dyDescent="0.3">
      <c r="A124" t="s">
        <v>157</v>
      </c>
      <c r="B124" t="s">
        <v>41</v>
      </c>
      <c r="C124" t="s">
        <v>221</v>
      </c>
      <c r="F124" s="17"/>
      <c r="H124" s="110">
        <v>7.8</v>
      </c>
      <c r="I124" s="110">
        <v>8.6649208534774331</v>
      </c>
      <c r="J124" s="110">
        <v>8.938547254627462</v>
      </c>
      <c r="K124" s="110">
        <v>9.054094902315498</v>
      </c>
      <c r="L124" s="110">
        <v>9.1544272629266565</v>
      </c>
      <c r="M124" s="110">
        <v>9.3423931469587416</v>
      </c>
      <c r="N124" s="110">
        <v>9.5357400329515247</v>
      </c>
      <c r="O124" s="110">
        <v>9.5903876976820861</v>
      </c>
      <c r="P124" s="110">
        <v>9.6516783967969211</v>
      </c>
      <c r="Q124" s="110">
        <v>9.7199963603868333</v>
      </c>
      <c r="R124" s="110">
        <v>9.794220618429728</v>
      </c>
      <c r="S124" s="110">
        <v>9.8733587796001814</v>
      </c>
      <c r="T124" s="110">
        <v>9.9562341938489691</v>
      </c>
      <c r="U124" s="110">
        <v>10.041638342999589</v>
      </c>
      <c r="V124" s="110">
        <v>10.128715284452024</v>
      </c>
    </row>
    <row r="125" spans="1:22" x14ac:dyDescent="0.3">
      <c r="A125" t="s">
        <v>138</v>
      </c>
      <c r="B125" t="s">
        <v>23</v>
      </c>
      <c r="C125" t="s">
        <v>221</v>
      </c>
      <c r="F125" s="17"/>
      <c r="H125" s="110">
        <v>1</v>
      </c>
      <c r="I125" s="110">
        <v>1.1512015569555303</v>
      </c>
      <c r="J125" s="110">
        <v>1.5851943953994594</v>
      </c>
      <c r="K125" s="110">
        <v>1.8650597847320025</v>
      </c>
      <c r="L125" s="110">
        <v>1.8666829559808242</v>
      </c>
      <c r="M125" s="110">
        <v>1.8546645932939176</v>
      </c>
      <c r="N125" s="110">
        <v>1.8527872316092753</v>
      </c>
      <c r="O125" s="110">
        <v>1.8414628990940078</v>
      </c>
      <c r="P125" s="110">
        <v>1.8306027945175634</v>
      </c>
      <c r="Q125" s="110">
        <v>1.8202104091858304</v>
      </c>
      <c r="R125" s="110">
        <v>1.8102512741501839</v>
      </c>
      <c r="S125" s="110">
        <v>1.8009337505192753</v>
      </c>
      <c r="T125" s="110">
        <v>1.7922649991673045</v>
      </c>
      <c r="U125" s="110">
        <v>1.7838651562717489</v>
      </c>
      <c r="V125" s="110">
        <v>1.7756901973915244</v>
      </c>
    </row>
    <row r="126" spans="1:22" x14ac:dyDescent="0.3">
      <c r="A126" t="s">
        <v>139</v>
      </c>
      <c r="B126" t="s">
        <v>23</v>
      </c>
      <c r="C126" t="s">
        <v>221</v>
      </c>
      <c r="F126" s="17"/>
      <c r="H126" s="110">
        <v>5.2</v>
      </c>
      <c r="I126" s="110">
        <v>5.1014377327768745</v>
      </c>
      <c r="J126" s="110">
        <v>5.1194219048431053</v>
      </c>
      <c r="K126" s="110">
        <v>5.2474344132183131</v>
      </c>
      <c r="L126" s="110">
        <v>5.3004088451544202</v>
      </c>
      <c r="M126" s="110">
        <v>5.474138337495039</v>
      </c>
      <c r="N126" s="110">
        <v>5.6150712367845932</v>
      </c>
      <c r="O126" s="110">
        <v>5.7006080780366757</v>
      </c>
      <c r="P126" s="110">
        <v>5.7873532666607028</v>
      </c>
      <c r="Q126" s="110">
        <v>5.8748059206459748</v>
      </c>
      <c r="R126" s="110">
        <v>5.9632045380880783</v>
      </c>
      <c r="S126" s="110">
        <v>6.0524014126724426</v>
      </c>
      <c r="T126" s="110">
        <v>6.1421213125328231</v>
      </c>
      <c r="U126" s="110">
        <v>6.2323550811211099</v>
      </c>
      <c r="V126" s="110">
        <v>6.3232653307099422</v>
      </c>
    </row>
    <row r="127" spans="1:22" x14ac:dyDescent="0.3">
      <c r="A127" t="s">
        <v>117</v>
      </c>
      <c r="B127" t="s">
        <v>3</v>
      </c>
      <c r="C127" t="s">
        <v>222</v>
      </c>
      <c r="F127" s="17"/>
      <c r="H127" s="110">
        <v>8.1999999999999993</v>
      </c>
      <c r="I127" s="110">
        <v>8.5006121134436707</v>
      </c>
      <c r="J127" s="110">
        <v>8.4066251933658549</v>
      </c>
      <c r="K127" s="110">
        <v>8.3637625511443972</v>
      </c>
      <c r="L127" s="110">
        <v>8.4163728746700155</v>
      </c>
      <c r="M127" s="110">
        <v>8.4345947460528095</v>
      </c>
      <c r="N127" s="110">
        <v>8.648018540758688</v>
      </c>
      <c r="O127" s="110">
        <v>8.7362564303844934</v>
      </c>
      <c r="P127" s="110">
        <v>8.8157596537117779</v>
      </c>
      <c r="Q127" s="110">
        <v>8.8907305204465636</v>
      </c>
      <c r="R127" s="110">
        <v>8.9626429359339923</v>
      </c>
      <c r="S127" s="110">
        <v>9.0325939205573267</v>
      </c>
      <c r="T127" s="110">
        <v>9.1018365786393094</v>
      </c>
      <c r="U127" s="110">
        <v>9.1707862934469162</v>
      </c>
      <c r="V127" s="110">
        <v>9.240714998162078</v>
      </c>
    </row>
    <row r="128" spans="1:22" x14ac:dyDescent="0.3">
      <c r="A128" t="s">
        <v>118</v>
      </c>
      <c r="B128" t="s">
        <v>3</v>
      </c>
      <c r="C128" t="s">
        <v>221</v>
      </c>
      <c r="F128" s="17"/>
      <c r="H128" s="110">
        <v>1.03</v>
      </c>
      <c r="I128" s="110">
        <v>1.0959289832716912</v>
      </c>
      <c r="J128" s="110">
        <v>1.6997024594712229</v>
      </c>
      <c r="K128" s="110">
        <v>2.121632995444652</v>
      </c>
      <c r="L128" s="110">
        <v>2.1393921413861436</v>
      </c>
      <c r="M128" s="110">
        <v>2.1505886265536014</v>
      </c>
      <c r="N128" s="110">
        <v>2.182917672404376</v>
      </c>
      <c r="O128" s="110">
        <v>2.2039976310970193</v>
      </c>
      <c r="P128" s="110">
        <v>2.2252435597479887</v>
      </c>
      <c r="Q128" s="110">
        <v>2.2465828261798331</v>
      </c>
      <c r="R128" s="110">
        <v>2.2678726024088913</v>
      </c>
      <c r="S128" s="110">
        <v>2.2895827646480393</v>
      </c>
      <c r="T128" s="110">
        <v>2.3118627260645699</v>
      </c>
      <c r="U128" s="110">
        <v>2.3344144448200308</v>
      </c>
      <c r="V128" s="110">
        <v>2.3572514454123943</v>
      </c>
    </row>
    <row r="129" spans="1:22" x14ac:dyDescent="0.3">
      <c r="A129" t="s">
        <v>175</v>
      </c>
      <c r="B129" t="s">
        <v>56</v>
      </c>
      <c r="C129" t="s">
        <v>222</v>
      </c>
      <c r="F129" s="17"/>
      <c r="H129" s="110">
        <v>12.8</v>
      </c>
      <c r="I129" s="110">
        <v>14.88721455881873</v>
      </c>
      <c r="J129" s="110">
        <v>15.981271142070677</v>
      </c>
      <c r="K129" s="110">
        <v>16.578355781119949</v>
      </c>
      <c r="L129" s="110">
        <v>17.390117855109388</v>
      </c>
      <c r="M129" s="110">
        <v>18.209321551333282</v>
      </c>
      <c r="N129" s="110">
        <v>19.279548987783084</v>
      </c>
      <c r="O129" s="110">
        <v>19.996553353046298</v>
      </c>
      <c r="P129" s="110">
        <v>20.722855218971063</v>
      </c>
      <c r="Q129" s="110">
        <v>21.419529086192036</v>
      </c>
      <c r="R129" s="110">
        <v>22.07012526439404</v>
      </c>
      <c r="S129" s="110">
        <v>22.672437622674504</v>
      </c>
      <c r="T129" s="110">
        <v>23.222967288627512</v>
      </c>
      <c r="U129" s="110">
        <v>23.721861779500568</v>
      </c>
      <c r="V129" s="110">
        <v>24.183083927426402</v>
      </c>
    </row>
    <row r="130" spans="1:22" x14ac:dyDescent="0.3">
      <c r="A130" t="s">
        <v>119</v>
      </c>
      <c r="B130" t="s">
        <v>3</v>
      </c>
      <c r="C130" t="s">
        <v>222</v>
      </c>
      <c r="F130" s="17"/>
      <c r="H130" s="110">
        <v>12.799999999999999</v>
      </c>
      <c r="I130" s="110">
        <v>12.81631604166072</v>
      </c>
      <c r="J130" s="110">
        <v>13.145373589267518</v>
      </c>
      <c r="K130" s="110">
        <v>13.29274318986921</v>
      </c>
      <c r="L130" s="110">
        <v>13.501705538166728</v>
      </c>
      <c r="M130" s="110">
        <v>13.67415708556373</v>
      </c>
      <c r="N130" s="110">
        <v>14.067472439722708</v>
      </c>
      <c r="O130" s="110">
        <v>14.209311688504993</v>
      </c>
      <c r="P130" s="110">
        <v>14.354437088275315</v>
      </c>
      <c r="Q130" s="110">
        <v>14.500478091235253</v>
      </c>
      <c r="R130" s="110">
        <v>14.648938009109933</v>
      </c>
      <c r="S130" s="110">
        <v>14.800155035808196</v>
      </c>
      <c r="T130" s="110">
        <v>14.953926920098223</v>
      </c>
      <c r="U130" s="110">
        <v>15.110401544182622</v>
      </c>
      <c r="V130" s="110">
        <v>15.270663087861633</v>
      </c>
    </row>
    <row r="131" spans="1:22" x14ac:dyDescent="0.3">
      <c r="A131" t="s">
        <v>176</v>
      </c>
      <c r="B131" t="s">
        <v>56</v>
      </c>
      <c r="C131" t="s">
        <v>222</v>
      </c>
      <c r="F131" s="17"/>
      <c r="H131" s="110">
        <v>17.8</v>
      </c>
      <c r="I131" s="110">
        <v>20.727443801052647</v>
      </c>
      <c r="J131" s="110">
        <v>23.234342577314113</v>
      </c>
      <c r="K131" s="110">
        <v>25.40096293183672</v>
      </c>
      <c r="L131" s="110">
        <v>27.359173112586081</v>
      </c>
      <c r="M131" s="110">
        <v>29.24986498351219</v>
      </c>
      <c r="N131" s="110">
        <v>30.08417870693949</v>
      </c>
      <c r="O131" s="110">
        <v>31.305384567015782</v>
      </c>
      <c r="P131" s="110">
        <v>32.571038584020627</v>
      </c>
      <c r="Q131" s="110">
        <v>33.752428314916763</v>
      </c>
      <c r="R131" s="110">
        <v>34.800513327607248</v>
      </c>
      <c r="S131" s="110">
        <v>35.801418202154757</v>
      </c>
      <c r="T131" s="110">
        <v>36.731690821835237</v>
      </c>
      <c r="U131" s="110">
        <v>37.613893125746038</v>
      </c>
      <c r="V131" s="110">
        <v>38.467784917864968</v>
      </c>
    </row>
    <row r="132" spans="1:22" x14ac:dyDescent="0.3">
      <c r="A132" t="s">
        <v>177</v>
      </c>
      <c r="B132" t="s">
        <v>56</v>
      </c>
      <c r="C132" t="s">
        <v>224</v>
      </c>
      <c r="F132" s="17"/>
      <c r="H132" s="110">
        <v>21.470000000000002</v>
      </c>
      <c r="I132" s="110">
        <v>21.85958887785667</v>
      </c>
      <c r="J132" s="110">
        <v>22.251372122464208</v>
      </c>
      <c r="K132" s="110">
        <v>22.987394739792688</v>
      </c>
      <c r="L132" s="110">
        <v>23.881930517177931</v>
      </c>
      <c r="M132" s="110">
        <v>25.186349963736866</v>
      </c>
      <c r="N132" s="110">
        <v>26.746345807954231</v>
      </c>
      <c r="O132" s="110">
        <v>28.004993280279955</v>
      </c>
      <c r="P132" s="110">
        <v>29.333825410850935</v>
      </c>
      <c r="Q132" s="110">
        <v>30.726662956076808</v>
      </c>
      <c r="R132" s="110">
        <v>32.172322652258003</v>
      </c>
      <c r="S132" s="110">
        <v>33.669565854195262</v>
      </c>
      <c r="T132" s="110">
        <v>35.206085778442294</v>
      </c>
      <c r="U132" s="110">
        <v>36.774340535996508</v>
      </c>
      <c r="V132" s="110">
        <v>38.361672720270313</v>
      </c>
    </row>
    <row r="133" spans="1:22" x14ac:dyDescent="0.3">
      <c r="A133" t="s">
        <v>140</v>
      </c>
      <c r="B133" t="s">
        <v>23</v>
      </c>
      <c r="C133" t="s">
        <v>221</v>
      </c>
      <c r="F133" s="17"/>
      <c r="H133" s="110">
        <v>8.2999999999999989</v>
      </c>
      <c r="I133" s="110">
        <v>8.5443193805590951</v>
      </c>
      <c r="J133" s="110">
        <v>8.7193697054227961</v>
      </c>
      <c r="K133" s="110">
        <v>8.9783969234436949</v>
      </c>
      <c r="L133" s="110">
        <v>9.0154260195638098</v>
      </c>
      <c r="M133" s="110">
        <v>9.1534918448848845</v>
      </c>
      <c r="N133" s="110">
        <v>9.3160488625985742</v>
      </c>
      <c r="O133" s="110">
        <v>9.3856802340694596</v>
      </c>
      <c r="P133" s="110">
        <v>9.455924202353204</v>
      </c>
      <c r="Q133" s="110">
        <v>9.5260326440981995</v>
      </c>
      <c r="R133" s="110">
        <v>9.5961926443623504</v>
      </c>
      <c r="S133" s="110">
        <v>9.6667636842326257</v>
      </c>
      <c r="T133" s="110">
        <v>9.7372828907034013</v>
      </c>
      <c r="U133" s="110">
        <v>9.8077745957850535</v>
      </c>
      <c r="V133" s="110">
        <v>9.8787802058834906</v>
      </c>
    </row>
    <row r="134" spans="1:22" x14ac:dyDescent="0.3">
      <c r="A134" t="s">
        <v>120</v>
      </c>
      <c r="B134" t="s">
        <v>3</v>
      </c>
      <c r="C134" t="s">
        <v>224</v>
      </c>
      <c r="F134" s="17"/>
      <c r="H134" s="110">
        <v>5.1999999999999993</v>
      </c>
      <c r="I134" s="110">
        <v>5.2045210503334847</v>
      </c>
      <c r="J134" s="110">
        <v>5.308728788502374</v>
      </c>
      <c r="K134" s="110">
        <v>5.4037197535693977</v>
      </c>
      <c r="L134" s="110">
        <v>5.493091246336995</v>
      </c>
      <c r="M134" s="110">
        <v>5.6604454343212991</v>
      </c>
      <c r="N134" s="110">
        <v>5.9798389602631303</v>
      </c>
      <c r="O134" s="110">
        <v>6.2840041277244643</v>
      </c>
      <c r="P134" s="110">
        <v>6.6257888696609477</v>
      </c>
      <c r="Q134" s="110">
        <v>7.0063168380638183</v>
      </c>
      <c r="R134" s="110">
        <v>7.4211651557610105</v>
      </c>
      <c r="S134" s="110">
        <v>7.8574602317872682</v>
      </c>
      <c r="T134" s="110">
        <v>8.3107410646898252</v>
      </c>
      <c r="U134" s="110">
        <v>8.7762184124819225</v>
      </c>
      <c r="V134" s="110">
        <v>9.2502823969551642</v>
      </c>
    </row>
    <row r="135" spans="1:22" x14ac:dyDescent="0.3">
      <c r="A135" t="s">
        <v>121</v>
      </c>
      <c r="B135" t="s">
        <v>3</v>
      </c>
      <c r="C135" t="s">
        <v>221</v>
      </c>
      <c r="F135" s="17"/>
      <c r="H135" s="110">
        <v>3.7</v>
      </c>
      <c r="I135" s="110">
        <v>4.2108420791443955</v>
      </c>
      <c r="J135" s="110">
        <v>4.511108594660981</v>
      </c>
      <c r="K135" s="110">
        <v>4.694518833281017</v>
      </c>
      <c r="L135" s="110">
        <v>4.754819976793291</v>
      </c>
      <c r="M135" s="110">
        <v>4.8834296582487822</v>
      </c>
      <c r="N135" s="110">
        <v>4.9929538339352222</v>
      </c>
      <c r="O135" s="110">
        <v>5.0285900857378687</v>
      </c>
      <c r="P135" s="110">
        <v>5.0647508332311677</v>
      </c>
      <c r="Q135" s="110">
        <v>5.1011392624091565</v>
      </c>
      <c r="R135" s="110">
        <v>5.1374006600383515</v>
      </c>
      <c r="S135" s="110">
        <v>5.173559368459979</v>
      </c>
      <c r="T135" s="110">
        <v>5.2095255446739772</v>
      </c>
      <c r="U135" s="110">
        <v>5.2452599748411242</v>
      </c>
      <c r="V135" s="110">
        <v>5.2808731307279366</v>
      </c>
    </row>
    <row r="136" spans="1:22" x14ac:dyDescent="0.3">
      <c r="A136" t="s">
        <v>122</v>
      </c>
      <c r="B136" t="s">
        <v>3</v>
      </c>
      <c r="C136" t="s">
        <v>222</v>
      </c>
      <c r="F136" s="17"/>
      <c r="H136" s="110">
        <v>15.9</v>
      </c>
      <c r="I136" s="110">
        <v>15.747069295182381</v>
      </c>
      <c r="J136" s="110">
        <v>15.689549796284558</v>
      </c>
      <c r="K136" s="110">
        <v>15.675557613199819</v>
      </c>
      <c r="L136" s="110">
        <v>15.787615777748096</v>
      </c>
      <c r="M136" s="110">
        <v>15.917704248075042</v>
      </c>
      <c r="N136" s="110">
        <v>16.36983231659643</v>
      </c>
      <c r="O136" s="110">
        <v>16.512767201048884</v>
      </c>
      <c r="P136" s="110">
        <v>16.647705756686076</v>
      </c>
      <c r="Q136" s="110">
        <v>16.77717862749537</v>
      </c>
      <c r="R136" s="110">
        <v>16.905019349820613</v>
      </c>
      <c r="S136" s="110">
        <v>17.03291298573275</v>
      </c>
      <c r="T136" s="110">
        <v>17.162537608393095</v>
      </c>
      <c r="U136" s="110">
        <v>17.29480944484385</v>
      </c>
      <c r="V136" s="110">
        <v>17.431866163395028</v>
      </c>
    </row>
    <row r="137" spans="1:22" x14ac:dyDescent="0.3">
      <c r="A137" t="s">
        <v>178</v>
      </c>
      <c r="B137" t="s">
        <v>56</v>
      </c>
      <c r="C137" t="s">
        <v>222</v>
      </c>
      <c r="F137" s="17"/>
      <c r="H137" s="110">
        <v>12.27</v>
      </c>
      <c r="I137" s="110">
        <v>12.617078507380073</v>
      </c>
      <c r="J137" s="110">
        <v>13.087088613527916</v>
      </c>
      <c r="K137" s="110">
        <v>13.519800426132058</v>
      </c>
      <c r="L137" s="110">
        <v>13.960492719486062</v>
      </c>
      <c r="M137" s="110">
        <v>14.380245391621319</v>
      </c>
      <c r="N137" s="110">
        <v>14.771807134735123</v>
      </c>
      <c r="O137" s="110">
        <v>14.945490008211681</v>
      </c>
      <c r="P137" s="110">
        <v>15.123185111393839</v>
      </c>
      <c r="Q137" s="110">
        <v>15.306824691470689</v>
      </c>
      <c r="R137" s="110">
        <v>15.495268063621076</v>
      </c>
      <c r="S137" s="110">
        <v>15.683319749034265</v>
      </c>
      <c r="T137" s="110">
        <v>15.87181945419665</v>
      </c>
      <c r="U137" s="110">
        <v>16.060110547345651</v>
      </c>
      <c r="V137" s="110">
        <v>16.248974167162963</v>
      </c>
    </row>
    <row r="138" spans="1:22" x14ac:dyDescent="0.3">
      <c r="A138" t="s">
        <v>179</v>
      </c>
      <c r="B138" t="s">
        <v>56</v>
      </c>
      <c r="C138" t="s">
        <v>221</v>
      </c>
      <c r="F138" s="17"/>
      <c r="H138" s="110">
        <v>5.36</v>
      </c>
      <c r="I138" s="110">
        <v>4.8555587209229634</v>
      </c>
      <c r="J138" s="110">
        <v>4.9305405613649</v>
      </c>
      <c r="K138" s="110">
        <v>4.9612600035705006</v>
      </c>
      <c r="L138" s="110">
        <v>4.9531847959111692</v>
      </c>
      <c r="M138" s="110">
        <v>5.0462684492923593</v>
      </c>
      <c r="N138" s="110">
        <v>5.2466480787344549</v>
      </c>
      <c r="O138" s="110">
        <v>5.3827266633847515</v>
      </c>
      <c r="P138" s="110">
        <v>5.5230060069808466</v>
      </c>
      <c r="Q138" s="110">
        <v>5.6657248321289897</v>
      </c>
      <c r="R138" s="110">
        <v>5.8098239433093495</v>
      </c>
      <c r="S138" s="110">
        <v>5.9550596996895315</v>
      </c>
      <c r="T138" s="110">
        <v>6.1009508420720326</v>
      </c>
      <c r="U138" s="110">
        <v>6.247471354027847</v>
      </c>
      <c r="V138" s="110">
        <v>6.3950796451810881</v>
      </c>
    </row>
    <row r="139" spans="1:22" x14ac:dyDescent="0.3">
      <c r="A139" t="s">
        <v>141</v>
      </c>
      <c r="B139" t="s">
        <v>23</v>
      </c>
      <c r="C139" t="s">
        <v>222</v>
      </c>
      <c r="F139" s="17"/>
      <c r="H139" s="110">
        <v>24.8</v>
      </c>
      <c r="I139" s="110">
        <v>26.490047733621818</v>
      </c>
      <c r="J139" s="110">
        <v>27.847923316195111</v>
      </c>
      <c r="K139" s="110">
        <v>28.962298355830796</v>
      </c>
      <c r="L139" s="110">
        <v>29.979946861743226</v>
      </c>
      <c r="M139" s="110">
        <v>30.822712999655284</v>
      </c>
      <c r="N139" s="110">
        <v>31.958246302767183</v>
      </c>
      <c r="O139" s="110">
        <v>32.480553410731453</v>
      </c>
      <c r="P139" s="110">
        <v>32.989849287587397</v>
      </c>
      <c r="Q139" s="110">
        <v>33.488724875312961</v>
      </c>
      <c r="R139" s="110">
        <v>33.983715776227037</v>
      </c>
      <c r="S139" s="110">
        <v>34.47523512939776</v>
      </c>
      <c r="T139" s="110">
        <v>34.963922667514794</v>
      </c>
      <c r="U139" s="110">
        <v>35.450453194589805</v>
      </c>
      <c r="V139" s="110">
        <v>35.937651376928137</v>
      </c>
    </row>
    <row r="140" spans="1:22" x14ac:dyDescent="0.3">
      <c r="A140" t="s">
        <v>158</v>
      </c>
      <c r="B140" t="s">
        <v>41</v>
      </c>
      <c r="C140" t="s">
        <v>224</v>
      </c>
      <c r="F140" s="17"/>
      <c r="H140" s="110">
        <v>13.31</v>
      </c>
      <c r="I140" s="110">
        <v>12.938609833582616</v>
      </c>
      <c r="J140" s="110">
        <v>12.796908215156524</v>
      </c>
      <c r="K140" s="110">
        <v>12.749434317756196</v>
      </c>
      <c r="L140" s="110">
        <v>12.783411034171092</v>
      </c>
      <c r="M140" s="110">
        <v>12.946432503216576</v>
      </c>
      <c r="N140" s="110">
        <v>13.246589196629486</v>
      </c>
      <c r="O140" s="110">
        <v>13.37493662228179</v>
      </c>
      <c r="P140" s="110">
        <v>13.504662153091679</v>
      </c>
      <c r="Q140" s="110">
        <v>13.635902877600746</v>
      </c>
      <c r="R140" s="110">
        <v>13.770397682285331</v>
      </c>
      <c r="S140" s="110">
        <v>13.90811983572053</v>
      </c>
      <c r="T140" s="110">
        <v>14.04885521987454</v>
      </c>
      <c r="U140" s="110">
        <v>14.192744024352091</v>
      </c>
      <c r="V140" s="110">
        <v>14.341322856128421</v>
      </c>
    </row>
    <row r="141" spans="1:22" x14ac:dyDescent="0.3">
      <c r="A141" t="s">
        <v>142</v>
      </c>
      <c r="B141" t="s">
        <v>23</v>
      </c>
      <c r="C141" t="s">
        <v>221</v>
      </c>
      <c r="F141" s="17"/>
      <c r="H141" s="110">
        <v>1.5999999999999999</v>
      </c>
      <c r="I141" s="110">
        <v>1.5940876861634403</v>
      </c>
      <c r="J141" s="110">
        <v>1.7531937013540781</v>
      </c>
      <c r="K141" s="110">
        <v>1.8380127582044692</v>
      </c>
      <c r="L141" s="110">
        <v>1.8291064206952654</v>
      </c>
      <c r="M141" s="110">
        <v>1.8484652819280885</v>
      </c>
      <c r="N141" s="110">
        <v>1.872267109188446</v>
      </c>
      <c r="O141" s="110">
        <v>1.8823696087795525</v>
      </c>
      <c r="P141" s="110">
        <v>1.8929582587130631</v>
      </c>
      <c r="Q141" s="110">
        <v>1.9041959245936246</v>
      </c>
      <c r="R141" s="110">
        <v>1.9160433627994886</v>
      </c>
      <c r="S141" s="110">
        <v>1.9284278540540478</v>
      </c>
      <c r="T141" s="110">
        <v>1.9412487139676291</v>
      </c>
      <c r="U141" s="110">
        <v>1.9543546985599809</v>
      </c>
      <c r="V141" s="110">
        <v>1.967619723858504</v>
      </c>
    </row>
    <row r="142" spans="1:22" x14ac:dyDescent="0.3">
      <c r="A142" t="s">
        <v>180</v>
      </c>
      <c r="B142" t="s">
        <v>56</v>
      </c>
      <c r="C142" t="s">
        <v>221</v>
      </c>
      <c r="F142" s="17"/>
      <c r="H142" s="110">
        <v>1.7999999999999998</v>
      </c>
      <c r="I142" s="110">
        <v>1.891516856445749</v>
      </c>
      <c r="J142" s="110">
        <v>2.0587274079345703</v>
      </c>
      <c r="K142" s="110">
        <v>2.2067522276929354</v>
      </c>
      <c r="L142" s="110">
        <v>2.2567107798897101</v>
      </c>
      <c r="M142" s="110">
        <v>2.2752112372946827</v>
      </c>
      <c r="N142" s="110">
        <v>2.3233974472198216</v>
      </c>
      <c r="O142" s="110">
        <v>2.3344582786181101</v>
      </c>
      <c r="P142" s="110">
        <v>2.3458560614492403</v>
      </c>
      <c r="Q142" s="110">
        <v>2.3574441622632518</v>
      </c>
      <c r="R142" s="110">
        <v>2.3690044382410895</v>
      </c>
      <c r="S142" s="110">
        <v>2.3805852910614793</v>
      </c>
      <c r="T142" s="110">
        <v>2.3922149756946709</v>
      </c>
      <c r="U142" s="110">
        <v>2.4038522860803826</v>
      </c>
      <c r="V142" s="110">
        <v>2.4154893980296577</v>
      </c>
    </row>
    <row r="143" spans="1:22" x14ac:dyDescent="0.3">
      <c r="A143" t="s">
        <v>123</v>
      </c>
      <c r="B143" t="s">
        <v>3</v>
      </c>
      <c r="C143" t="s">
        <v>221</v>
      </c>
      <c r="F143" s="17"/>
      <c r="H143" s="110">
        <v>1.2</v>
      </c>
      <c r="I143" s="110">
        <v>1.3777583862105764</v>
      </c>
      <c r="J143" s="110">
        <v>1.3618914970884282</v>
      </c>
      <c r="K143" s="110">
        <v>1.3611252102667279</v>
      </c>
      <c r="L143" s="110">
        <v>1.3777463537194334</v>
      </c>
      <c r="M143" s="110">
        <v>1.4040168907242259</v>
      </c>
      <c r="N143" s="110">
        <v>1.435156973902568</v>
      </c>
      <c r="O143" s="110">
        <v>1.4474841977118125</v>
      </c>
      <c r="P143" s="110">
        <v>1.4601084207567652</v>
      </c>
      <c r="Q143" s="110">
        <v>1.4728399051952117</v>
      </c>
      <c r="R143" s="110">
        <v>1.4857655518452404</v>
      </c>
      <c r="S143" s="110">
        <v>1.4989005444220815</v>
      </c>
      <c r="T143" s="110">
        <v>1.5122297842226555</v>
      </c>
      <c r="U143" s="110">
        <v>1.525733234999654</v>
      </c>
      <c r="V143" s="110">
        <v>1.53946094783069</v>
      </c>
    </row>
    <row r="144" spans="1:22" x14ac:dyDescent="0.3">
      <c r="A144" t="s">
        <v>143</v>
      </c>
      <c r="B144" t="s">
        <v>23</v>
      </c>
      <c r="C144" t="s">
        <v>224</v>
      </c>
      <c r="F144" s="17"/>
      <c r="H144" s="110">
        <v>6.4</v>
      </c>
      <c r="I144" s="110">
        <v>5.9615224600963739</v>
      </c>
      <c r="J144" s="110">
        <v>5.8630583570480379</v>
      </c>
      <c r="K144" s="110">
        <v>5.8316310697457894</v>
      </c>
      <c r="L144" s="110">
        <v>5.8346692615226141</v>
      </c>
      <c r="M144" s="110">
        <v>5.9048540710915844</v>
      </c>
      <c r="N144" s="110">
        <v>6.0112041701424133</v>
      </c>
      <c r="O144" s="110">
        <v>6.0400052745804311</v>
      </c>
      <c r="P144" s="110">
        <v>6.0693916872549813</v>
      </c>
      <c r="Q144" s="110">
        <v>6.0991355563898679</v>
      </c>
      <c r="R144" s="110">
        <v>6.1294950468194456</v>
      </c>
      <c r="S144" s="110">
        <v>6.1605922814206133</v>
      </c>
      <c r="T144" s="110">
        <v>6.1923661162096924</v>
      </c>
      <c r="U144" s="110">
        <v>6.2248840596795789</v>
      </c>
      <c r="V144" s="110">
        <v>6.2587898365160655</v>
      </c>
    </row>
    <row r="145" spans="1:22" x14ac:dyDescent="0.3">
      <c r="A145" t="s">
        <v>181</v>
      </c>
      <c r="B145" t="s">
        <v>56</v>
      </c>
      <c r="C145" t="s">
        <v>221</v>
      </c>
      <c r="F145" s="17"/>
      <c r="H145" s="110">
        <v>1.5</v>
      </c>
      <c r="I145" s="110">
        <v>2.0112759566900302</v>
      </c>
      <c r="J145" s="110">
        <v>2.5122029356443201</v>
      </c>
      <c r="K145" s="110">
        <v>2.8019907033553397</v>
      </c>
      <c r="L145" s="110">
        <v>2.8255323512838855</v>
      </c>
      <c r="M145" s="110">
        <v>2.878117796019497</v>
      </c>
      <c r="N145" s="110">
        <v>2.8865940517545017</v>
      </c>
      <c r="O145" s="110">
        <v>2.8754916667458086</v>
      </c>
      <c r="P145" s="110">
        <v>2.8652856500511139</v>
      </c>
      <c r="Q145" s="110">
        <v>2.8555040821688347</v>
      </c>
      <c r="R145" s="110">
        <v>2.8462542459082956</v>
      </c>
      <c r="S145" s="110">
        <v>2.8378378590805151</v>
      </c>
      <c r="T145" s="110">
        <v>2.8302011525617128</v>
      </c>
      <c r="U145" s="110">
        <v>2.823392543903458</v>
      </c>
      <c r="V145" s="110">
        <v>2.8174731577002095</v>
      </c>
    </row>
    <row r="146" spans="1:22" x14ac:dyDescent="0.3">
      <c r="A146" t="s">
        <v>159</v>
      </c>
      <c r="B146" t="s">
        <v>41</v>
      </c>
      <c r="C146" t="s">
        <v>222</v>
      </c>
      <c r="F146" s="17"/>
      <c r="H146" s="110">
        <v>11.3</v>
      </c>
      <c r="I146" s="110">
        <v>14.183647493847317</v>
      </c>
      <c r="J146" s="110">
        <v>15.583380956457907</v>
      </c>
      <c r="K146" s="110">
        <v>16.706061206730475</v>
      </c>
      <c r="L146" s="110">
        <v>17.709319019880301</v>
      </c>
      <c r="M146" s="110">
        <v>18.864258875508654</v>
      </c>
      <c r="N146" s="110">
        <v>19.708311356971461</v>
      </c>
      <c r="O146" s="110">
        <v>20.083795042337211</v>
      </c>
      <c r="P146" s="110">
        <v>20.467148320098278</v>
      </c>
      <c r="Q146" s="110">
        <v>20.864285597197696</v>
      </c>
      <c r="R146" s="110">
        <v>21.27054391287313</v>
      </c>
      <c r="S146" s="110">
        <v>21.679025315602395</v>
      </c>
      <c r="T146" s="110">
        <v>22.090958059747525</v>
      </c>
      <c r="U146" s="110">
        <v>22.506921601479867</v>
      </c>
      <c r="V146" s="110">
        <v>22.919954108239132</v>
      </c>
    </row>
    <row r="147" spans="1:22" x14ac:dyDescent="0.3">
      <c r="A147" t="s">
        <v>182</v>
      </c>
      <c r="B147" t="s">
        <v>56</v>
      </c>
      <c r="C147" t="s">
        <v>221</v>
      </c>
      <c r="F147" s="17"/>
      <c r="H147" s="110">
        <v>1</v>
      </c>
      <c r="I147" s="110">
        <v>1.0161308475589304</v>
      </c>
      <c r="J147" s="110">
        <v>1.3386480556971492</v>
      </c>
      <c r="K147" s="110">
        <v>1.5540444061480627</v>
      </c>
      <c r="L147" s="110">
        <v>1.538410516416636</v>
      </c>
      <c r="M147" s="110">
        <v>1.4971074617500786</v>
      </c>
      <c r="N147" s="110">
        <v>1.5075918402075714</v>
      </c>
      <c r="O147" s="110">
        <v>1.5152099118010098</v>
      </c>
      <c r="P147" s="110">
        <v>1.52311031692472</v>
      </c>
      <c r="Q147" s="110">
        <v>1.5311190903566476</v>
      </c>
      <c r="R147" s="110">
        <v>1.5392185086805106</v>
      </c>
      <c r="S147" s="110">
        <v>1.5474740675583305</v>
      </c>
      <c r="T147" s="110">
        <v>1.5558546052302489</v>
      </c>
      <c r="U147" s="110">
        <v>1.5641707470789816</v>
      </c>
      <c r="V147" s="110">
        <v>1.5723339019661853</v>
      </c>
    </row>
    <row r="148" spans="1:22" x14ac:dyDescent="0.3">
      <c r="A148" t="s">
        <v>183</v>
      </c>
      <c r="B148" t="s">
        <v>56</v>
      </c>
      <c r="C148" t="s">
        <v>221</v>
      </c>
      <c r="F148" s="17"/>
      <c r="H148" s="110">
        <v>0.2</v>
      </c>
      <c r="I148" s="110">
        <v>0.18225606560569677</v>
      </c>
      <c r="J148" s="110">
        <v>0.17530825788969021</v>
      </c>
      <c r="K148" s="110">
        <v>0.16122360117227788</v>
      </c>
      <c r="L148" s="110">
        <v>0.16139985266901311</v>
      </c>
      <c r="M148" s="110">
        <v>0.16893792460890675</v>
      </c>
      <c r="N148" s="110">
        <v>0.16954351756897468</v>
      </c>
      <c r="O148" s="110">
        <v>0.16967642907910913</v>
      </c>
      <c r="P148" s="110">
        <v>0.16992598555291374</v>
      </c>
      <c r="Q148" s="110">
        <v>0.17024373326680295</v>
      </c>
      <c r="R148" s="110">
        <v>0.17061224849245843</v>
      </c>
      <c r="S148" s="110">
        <v>0.1710127259141857</v>
      </c>
      <c r="T148" s="110">
        <v>0.17142899396889286</v>
      </c>
      <c r="U148" s="110">
        <v>0.17184786436272115</v>
      </c>
      <c r="V148" s="110">
        <v>0.17226572130903642</v>
      </c>
    </row>
    <row r="149" spans="1:22" x14ac:dyDescent="0.3">
      <c r="A149" t="s">
        <v>160</v>
      </c>
      <c r="B149" t="s">
        <v>41</v>
      </c>
      <c r="C149" t="s">
        <v>221</v>
      </c>
      <c r="F149" s="17"/>
      <c r="H149" s="110">
        <v>2.8</v>
      </c>
      <c r="I149" s="110">
        <v>2.6935259499822157</v>
      </c>
      <c r="J149" s="110">
        <v>3.0535357398193499</v>
      </c>
      <c r="K149" s="110">
        <v>3.2693833097509097</v>
      </c>
      <c r="L149" s="110">
        <v>3.2858630260286259</v>
      </c>
      <c r="M149" s="110">
        <v>3.3168197845885561</v>
      </c>
      <c r="N149" s="110">
        <v>3.3572194767318888</v>
      </c>
      <c r="O149" s="110">
        <v>3.38142315025808</v>
      </c>
      <c r="P149" s="110">
        <v>3.4073618028272517</v>
      </c>
      <c r="Q149" s="110">
        <v>3.4339943499657313</v>
      </c>
      <c r="R149" s="110">
        <v>3.4604744355474457</v>
      </c>
      <c r="S149" s="110">
        <v>3.4866705772073026</v>
      </c>
      <c r="T149" s="110">
        <v>3.5125152377839988</v>
      </c>
      <c r="U149" s="110">
        <v>3.5378565854594632</v>
      </c>
      <c r="V149" s="110">
        <v>3.5629838378780514</v>
      </c>
    </row>
    <row r="150" spans="1:22" x14ac:dyDescent="0.3">
      <c r="A150" t="s">
        <v>184</v>
      </c>
      <c r="B150" t="s">
        <v>56</v>
      </c>
      <c r="C150" t="s">
        <v>221</v>
      </c>
      <c r="F150" s="17"/>
      <c r="H150" s="110">
        <v>1.2</v>
      </c>
      <c r="I150" s="110">
        <v>1.2626232573404448</v>
      </c>
      <c r="J150" s="110">
        <v>1.2771431777130358</v>
      </c>
      <c r="K150" s="110">
        <v>1.2812769433459088</v>
      </c>
      <c r="L150" s="110">
        <v>1.3102234635087195</v>
      </c>
      <c r="M150" s="110">
        <v>1.3392593869509084</v>
      </c>
      <c r="N150" s="110">
        <v>1.3559048140549581</v>
      </c>
      <c r="O150" s="110">
        <v>1.3507639211569811</v>
      </c>
      <c r="P150" s="110">
        <v>1.3456963998306284</v>
      </c>
      <c r="Q150" s="110">
        <v>1.3407137765970631</v>
      </c>
      <c r="R150" s="110">
        <v>1.3358237852804402</v>
      </c>
      <c r="S150" s="110">
        <v>1.3310443752967498</v>
      </c>
      <c r="T150" s="110">
        <v>1.3263518987500023</v>
      </c>
      <c r="U150" s="110">
        <v>1.3217208413363792</v>
      </c>
      <c r="V150" s="110">
        <v>1.317146313979509</v>
      </c>
    </row>
    <row r="151" spans="1:22" x14ac:dyDescent="0.3">
      <c r="A151" t="s">
        <v>161</v>
      </c>
      <c r="B151" t="s">
        <v>41</v>
      </c>
      <c r="C151" t="s">
        <v>222</v>
      </c>
      <c r="F151" s="17"/>
      <c r="H151" s="110">
        <v>9.1</v>
      </c>
      <c r="I151" s="110">
        <v>9.4945442097955404</v>
      </c>
      <c r="J151" s="110">
        <v>10.078545935106737</v>
      </c>
      <c r="K151" s="110">
        <v>10.66423328048996</v>
      </c>
      <c r="L151" s="110">
        <v>11.194989041845957</v>
      </c>
      <c r="M151" s="110">
        <v>11.711009573111021</v>
      </c>
      <c r="N151" s="110">
        <v>12.184129920099208</v>
      </c>
      <c r="O151" s="110">
        <v>12.360990263022495</v>
      </c>
      <c r="P151" s="110">
        <v>12.530497943448234</v>
      </c>
      <c r="Q151" s="110">
        <v>12.690630761107043</v>
      </c>
      <c r="R151" s="110">
        <v>12.843616567759977</v>
      </c>
      <c r="S151" s="110">
        <v>12.993707785336495</v>
      </c>
      <c r="T151" s="110">
        <v>13.142431119751297</v>
      </c>
      <c r="U151" s="110">
        <v>13.290435416290622</v>
      </c>
      <c r="V151" s="110">
        <v>13.438671260879627</v>
      </c>
    </row>
    <row r="152" spans="1:22" x14ac:dyDescent="0.3">
      <c r="A152" t="s">
        <v>124</v>
      </c>
      <c r="B152" t="s">
        <v>3</v>
      </c>
      <c r="C152" t="s">
        <v>221</v>
      </c>
      <c r="F152" s="17"/>
      <c r="H152" s="110">
        <v>1</v>
      </c>
      <c r="I152" s="110">
        <v>0.86685968454981766</v>
      </c>
      <c r="J152" s="110">
        <v>1.1226488362698259</v>
      </c>
      <c r="K152" s="110">
        <v>1.2866879547544876</v>
      </c>
      <c r="L152" s="110">
        <v>1.2766940989286115</v>
      </c>
      <c r="M152" s="110">
        <v>1.2655918883810762</v>
      </c>
      <c r="N152" s="110">
        <v>1.2781197189559119</v>
      </c>
      <c r="O152" s="110">
        <v>1.2858944929031682</v>
      </c>
      <c r="P152" s="110">
        <v>1.2937505680089876</v>
      </c>
      <c r="Q152" s="110">
        <v>1.3016262014389637</v>
      </c>
      <c r="R152" s="110">
        <v>1.309474694880399</v>
      </c>
      <c r="S152" s="110">
        <v>1.3174322236397102</v>
      </c>
      <c r="T152" s="110">
        <v>1.3255397557632187</v>
      </c>
      <c r="U152" s="110">
        <v>1.3337704447357233</v>
      </c>
      <c r="V152" s="110">
        <v>1.3421266689514786</v>
      </c>
    </row>
    <row r="153" spans="1:22" x14ac:dyDescent="0.3">
      <c r="A153" t="s">
        <v>185</v>
      </c>
      <c r="B153" t="s">
        <v>56</v>
      </c>
      <c r="C153" t="s">
        <v>221</v>
      </c>
      <c r="F153" s="17"/>
      <c r="H153" s="110">
        <v>2.6</v>
      </c>
      <c r="I153" s="110">
        <v>2.5771572764330535</v>
      </c>
      <c r="J153" s="110">
        <v>2.6924992308221518</v>
      </c>
      <c r="K153" s="110">
        <v>2.7668712394605679</v>
      </c>
      <c r="L153" s="110">
        <v>2.7948488106347611</v>
      </c>
      <c r="M153" s="110">
        <v>2.8675445688446226</v>
      </c>
      <c r="N153" s="110">
        <v>2.9589132381936412</v>
      </c>
      <c r="O153" s="110">
        <v>3.0218424139870117</v>
      </c>
      <c r="P153" s="110">
        <v>3.0867408322973704</v>
      </c>
      <c r="Q153" s="110">
        <v>3.1528281418557027</v>
      </c>
      <c r="R153" s="110">
        <v>3.2195426535555769</v>
      </c>
      <c r="S153" s="110">
        <v>3.2864984119154048</v>
      </c>
      <c r="T153" s="110">
        <v>3.3535689315144106</v>
      </c>
      <c r="U153" s="110">
        <v>3.420704445489513</v>
      </c>
      <c r="V153" s="110">
        <v>3.4879116143782829</v>
      </c>
    </row>
    <row r="154" spans="1:22" x14ac:dyDescent="0.3">
      <c r="A154" t="s">
        <v>144</v>
      </c>
      <c r="B154" t="s">
        <v>23</v>
      </c>
      <c r="C154" t="s">
        <v>221</v>
      </c>
      <c r="F154" s="17"/>
      <c r="H154" s="110">
        <v>3.4</v>
      </c>
      <c r="I154" s="110">
        <v>3.9141288036781559</v>
      </c>
      <c r="J154" s="110">
        <v>3.9683886850112713</v>
      </c>
      <c r="K154" s="110">
        <v>4.031121220207142</v>
      </c>
      <c r="L154" s="110">
        <v>4.1161021678596157</v>
      </c>
      <c r="M154" s="110">
        <v>4.1357465892007239</v>
      </c>
      <c r="N154" s="110">
        <v>4.1930600821746369</v>
      </c>
      <c r="O154" s="110">
        <v>4.1973684810424112</v>
      </c>
      <c r="P154" s="110">
        <v>4.2021913924650862</v>
      </c>
      <c r="Q154" s="110">
        <v>4.2070660475673831</v>
      </c>
      <c r="R154" s="110">
        <v>4.2118916343581638</v>
      </c>
      <c r="S154" s="110">
        <v>4.216900726239726</v>
      </c>
      <c r="T154" s="110">
        <v>4.2222738872699708</v>
      </c>
      <c r="U154" s="110">
        <v>4.228089522451425</v>
      </c>
      <c r="V154" s="110">
        <v>4.2343539696172128</v>
      </c>
    </row>
    <row r="155" spans="1:22" x14ac:dyDescent="0.3">
      <c r="A155" t="s">
        <v>125</v>
      </c>
      <c r="B155" t="s">
        <v>3</v>
      </c>
      <c r="C155" t="s">
        <v>221</v>
      </c>
      <c r="F155" s="17"/>
      <c r="H155" s="110">
        <v>0.8</v>
      </c>
      <c r="I155" s="110">
        <v>3.027594454633141</v>
      </c>
      <c r="J155" s="110">
        <v>4.9047139582850914</v>
      </c>
      <c r="K155" s="110">
        <v>5.9102726933692882</v>
      </c>
      <c r="L155" s="110">
        <v>5.8817012079997237</v>
      </c>
      <c r="M155" s="110">
        <v>5.8872533409253256</v>
      </c>
      <c r="N155" s="110">
        <v>5.854422145258865</v>
      </c>
      <c r="O155" s="110">
        <v>5.8368622381615758</v>
      </c>
      <c r="P155" s="110">
        <v>5.8203078125433665</v>
      </c>
      <c r="Q155" s="110">
        <v>5.8042265581321537</v>
      </c>
      <c r="R155" s="110">
        <v>5.7884023684071</v>
      </c>
      <c r="S155" s="110">
        <v>5.772376592183095</v>
      </c>
      <c r="T155" s="110">
        <v>5.7563025023539245</v>
      </c>
      <c r="U155" s="110">
        <v>5.7407616012333014</v>
      </c>
      <c r="V155" s="110">
        <v>5.7258073972843606</v>
      </c>
    </row>
    <row r="156" spans="1:22" x14ac:dyDescent="0.3">
      <c r="A156" t="s">
        <v>126</v>
      </c>
      <c r="B156" t="s">
        <v>3</v>
      </c>
      <c r="C156" t="s">
        <v>221</v>
      </c>
      <c r="F156" s="17"/>
      <c r="H156" s="110">
        <v>2.75</v>
      </c>
      <c r="I156" s="110">
        <v>2.3802042137021977</v>
      </c>
      <c r="J156" s="110">
        <v>2.6026926250586313</v>
      </c>
      <c r="K156" s="110">
        <v>2.7556500862998998</v>
      </c>
      <c r="L156" s="110">
        <v>2.7780155170732175</v>
      </c>
      <c r="M156" s="110">
        <v>2.7786117257199376</v>
      </c>
      <c r="N156" s="110">
        <v>2.795225605737031</v>
      </c>
      <c r="O156" s="110">
        <v>2.8001055066132627</v>
      </c>
      <c r="P156" s="110">
        <v>2.8054666970827746</v>
      </c>
      <c r="Q156" s="110">
        <v>2.8110477769988984</v>
      </c>
      <c r="R156" s="110">
        <v>2.8168525144203223</v>
      </c>
      <c r="S156" s="110">
        <v>2.8230194803194895</v>
      </c>
      <c r="T156" s="110">
        <v>2.8295638944134556</v>
      </c>
      <c r="U156" s="110">
        <v>2.836586245074475</v>
      </c>
      <c r="V156" s="110">
        <v>2.8441092215202013</v>
      </c>
    </row>
    <row r="157" spans="1:22" x14ac:dyDescent="0.3">
      <c r="A157" t="s">
        <v>186</v>
      </c>
      <c r="B157" t="s">
        <v>56</v>
      </c>
      <c r="C157" t="s">
        <v>221</v>
      </c>
      <c r="F157" s="17"/>
      <c r="H157" s="110">
        <v>3.1999999999999997</v>
      </c>
      <c r="I157" s="110">
        <v>3.5378034194365262</v>
      </c>
      <c r="J157" s="110">
        <v>3.7757897651897285</v>
      </c>
      <c r="K157" s="110">
        <v>4.0117841893621282</v>
      </c>
      <c r="L157" s="110">
        <v>4.1302527247019523</v>
      </c>
      <c r="M157" s="110">
        <v>4.2656937868667111</v>
      </c>
      <c r="N157" s="110">
        <v>4.3866620694061114</v>
      </c>
      <c r="O157" s="110">
        <v>4.4283004152228411</v>
      </c>
      <c r="P157" s="110">
        <v>4.468615206067172</v>
      </c>
      <c r="Q157" s="110">
        <v>4.5075561328991087</v>
      </c>
      <c r="R157" s="110">
        <v>4.5452094612885965</v>
      </c>
      <c r="S157" s="110">
        <v>4.5819844885095558</v>
      </c>
      <c r="T157" s="110">
        <v>4.6180322433896048</v>
      </c>
      <c r="U157" s="110">
        <v>4.6536227770024041</v>
      </c>
      <c r="V157" s="110">
        <v>4.6890698530742085</v>
      </c>
    </row>
    <row r="158" spans="1:22" x14ac:dyDescent="0.3">
      <c r="A158" t="s">
        <v>162</v>
      </c>
      <c r="B158" t="s">
        <v>41</v>
      </c>
      <c r="C158" t="s">
        <v>221</v>
      </c>
      <c r="F158" s="17"/>
      <c r="H158" s="110">
        <v>4.25</v>
      </c>
      <c r="I158" s="110">
        <v>4.0480964980244316</v>
      </c>
      <c r="J158" s="110">
        <v>4.190666056564373</v>
      </c>
      <c r="K158" s="110">
        <v>4.2139278793262758</v>
      </c>
      <c r="L158" s="110">
        <v>4.2218640300095789</v>
      </c>
      <c r="M158" s="110">
        <v>4.2123413411781403</v>
      </c>
      <c r="N158" s="110">
        <v>4.2692629870241356</v>
      </c>
      <c r="O158" s="110">
        <v>4.2931044053577212</v>
      </c>
      <c r="P158" s="110">
        <v>4.3181451003145206</v>
      </c>
      <c r="Q158" s="110">
        <v>4.3431012400347289</v>
      </c>
      <c r="R158" s="110">
        <v>4.3677767287466729</v>
      </c>
      <c r="S158" s="110">
        <v>4.3924456361452311</v>
      </c>
      <c r="T158" s="110">
        <v>4.4170792436640758</v>
      </c>
      <c r="U158" s="110">
        <v>4.4416624002242449</v>
      </c>
      <c r="V158" s="110">
        <v>4.4663451415071682</v>
      </c>
    </row>
    <row r="159" spans="1:22" x14ac:dyDescent="0.3">
      <c r="A159" t="s">
        <v>187</v>
      </c>
      <c r="B159" t="s">
        <v>56</v>
      </c>
      <c r="C159" t="s">
        <v>221</v>
      </c>
      <c r="F159" s="17"/>
      <c r="H159" s="110">
        <v>0.8</v>
      </c>
      <c r="I159" s="110">
        <v>1.3581906854655823</v>
      </c>
      <c r="J159" s="110">
        <v>2.2310021913000493</v>
      </c>
      <c r="K159" s="110">
        <v>2.7104577440029276</v>
      </c>
      <c r="L159" s="110">
        <v>2.6382816718754647</v>
      </c>
      <c r="M159" s="110">
        <v>2.5437670483328412</v>
      </c>
      <c r="N159" s="110">
        <v>2.4983754389636337</v>
      </c>
      <c r="O159" s="110">
        <v>2.4570386908862818</v>
      </c>
      <c r="P159" s="110">
        <v>2.417912764540834</v>
      </c>
      <c r="Q159" s="110">
        <v>2.3812624471645667</v>
      </c>
      <c r="R159" s="110">
        <v>2.3458719543059914</v>
      </c>
      <c r="S159" s="110">
        <v>2.3120826428123022</v>
      </c>
      <c r="T159" s="110">
        <v>2.2795291218385207</v>
      </c>
      <c r="U159" s="110">
        <v>2.2472235789069992</v>
      </c>
      <c r="V159" s="110">
        <v>2.2149884265483979</v>
      </c>
    </row>
    <row r="160" spans="1:22" x14ac:dyDescent="0.3">
      <c r="A160" t="s">
        <v>127</v>
      </c>
      <c r="B160" t="s">
        <v>3</v>
      </c>
      <c r="C160" t="s">
        <v>222</v>
      </c>
      <c r="F160" s="17"/>
      <c r="H160" s="110">
        <v>13.6</v>
      </c>
      <c r="I160" s="110">
        <v>15.081000515985236</v>
      </c>
      <c r="J160" s="110">
        <v>15.064897248117859</v>
      </c>
      <c r="K160" s="110">
        <v>15.057928528116923</v>
      </c>
      <c r="L160" s="110">
        <v>15.154692178183117</v>
      </c>
      <c r="M160" s="110">
        <v>15.279247386398531</v>
      </c>
      <c r="N160" s="110">
        <v>15.738475595429305</v>
      </c>
      <c r="O160" s="110">
        <v>15.891211367975382</v>
      </c>
      <c r="P160" s="110">
        <v>16.032306027013551</v>
      </c>
      <c r="Q160" s="110">
        <v>16.165746438289965</v>
      </c>
      <c r="R160" s="110">
        <v>16.297020979149696</v>
      </c>
      <c r="S160" s="110">
        <v>16.429191463059723</v>
      </c>
      <c r="T160" s="110">
        <v>16.564052809358675</v>
      </c>
      <c r="U160" s="110">
        <v>16.70221237243366</v>
      </c>
      <c r="V160" s="110">
        <v>16.845202363877505</v>
      </c>
    </row>
    <row r="161" spans="1:22" x14ac:dyDescent="0.3">
      <c r="A161" t="s">
        <v>145</v>
      </c>
      <c r="B161" t="s">
        <v>23</v>
      </c>
      <c r="C161" t="s">
        <v>224</v>
      </c>
      <c r="F161" s="17"/>
      <c r="H161" s="110">
        <v>35.58</v>
      </c>
      <c r="I161" s="110">
        <v>34.971694688993509</v>
      </c>
      <c r="J161" s="110">
        <v>36.147104493957656</v>
      </c>
      <c r="K161" s="110">
        <v>37.267102799528772</v>
      </c>
      <c r="L161" s="110">
        <v>38.372484026055915</v>
      </c>
      <c r="M161" s="110">
        <v>39.778162108837918</v>
      </c>
      <c r="N161" s="110">
        <v>41.745177034988899</v>
      </c>
      <c r="O161" s="110">
        <v>43.104061098881758</v>
      </c>
      <c r="P161" s="110">
        <v>44.464062411046498</v>
      </c>
      <c r="Q161" s="110">
        <v>45.816929866308335</v>
      </c>
      <c r="R161" s="110">
        <v>47.162990841142204</v>
      </c>
      <c r="S161" s="110">
        <v>48.489154048068514</v>
      </c>
      <c r="T161" s="110">
        <v>49.784730470217667</v>
      </c>
      <c r="U161" s="110">
        <v>51.054535618551192</v>
      </c>
      <c r="V161" s="110">
        <v>52.30005949374678</v>
      </c>
    </row>
    <row r="162" spans="1:22" x14ac:dyDescent="0.3">
      <c r="A162" t="s">
        <v>128</v>
      </c>
      <c r="B162" t="s">
        <v>3</v>
      </c>
      <c r="C162" t="s">
        <v>221</v>
      </c>
      <c r="F162" s="17"/>
      <c r="H162" s="110">
        <v>5.3999999999999995</v>
      </c>
      <c r="I162" s="110">
        <v>5.6394666478171667</v>
      </c>
      <c r="J162" s="110">
        <v>5.8940697190860867</v>
      </c>
      <c r="K162" s="110">
        <v>6.0644188056774739</v>
      </c>
      <c r="L162" s="110">
        <v>6.2546110913144783</v>
      </c>
      <c r="M162" s="110">
        <v>6.4514474082036477</v>
      </c>
      <c r="N162" s="110">
        <v>6.7126277866784827</v>
      </c>
      <c r="O162" s="110">
        <v>6.8412347540775569</v>
      </c>
      <c r="P162" s="110">
        <v>6.9706921248730955</v>
      </c>
      <c r="Q162" s="110">
        <v>7.1016665605037979</v>
      </c>
      <c r="R162" s="110">
        <v>7.2337675843403852</v>
      </c>
      <c r="S162" s="110">
        <v>7.3675756991215264</v>
      </c>
      <c r="T162" s="110">
        <v>7.5029090524111863</v>
      </c>
      <c r="U162" s="110">
        <v>7.6398112462839993</v>
      </c>
      <c r="V162" s="110">
        <v>7.7788829491309226</v>
      </c>
    </row>
    <row r="163" spans="1:22" x14ac:dyDescent="0.3">
      <c r="A163" t="s">
        <v>188</v>
      </c>
      <c r="B163" t="s">
        <v>56</v>
      </c>
      <c r="C163" t="s">
        <v>224</v>
      </c>
      <c r="F163" s="17"/>
      <c r="H163" s="110">
        <v>46</v>
      </c>
      <c r="I163" s="110">
        <v>41.910274940215857</v>
      </c>
      <c r="J163" s="110">
        <v>42.716323785839762</v>
      </c>
      <c r="K163" s="110">
        <v>43.110798342842138</v>
      </c>
      <c r="L163" s="110">
        <v>44.065453855596623</v>
      </c>
      <c r="M163" s="110">
        <v>45.066214941308068</v>
      </c>
      <c r="N163" s="110">
        <v>47.275122673744264</v>
      </c>
      <c r="O163" s="110">
        <v>48.993780242697625</v>
      </c>
      <c r="P163" s="110">
        <v>50.718723672947675</v>
      </c>
      <c r="Q163" s="110">
        <v>52.426171180397439</v>
      </c>
      <c r="R163" s="110">
        <v>54.117441509835487</v>
      </c>
      <c r="S163" s="110">
        <v>55.79885745458833</v>
      </c>
      <c r="T163" s="110">
        <v>57.474319543399439</v>
      </c>
      <c r="U163" s="110">
        <v>59.15434371048066</v>
      </c>
      <c r="V163" s="110">
        <v>60.850719067674852</v>
      </c>
    </row>
    <row r="164" spans="1:22" x14ac:dyDescent="0.3">
      <c r="A164" t="s">
        <v>146</v>
      </c>
      <c r="B164" t="s">
        <v>23</v>
      </c>
      <c r="C164" t="s">
        <v>222</v>
      </c>
      <c r="F164" s="17"/>
      <c r="H164" s="110">
        <v>8.2000000000000011</v>
      </c>
      <c r="I164" s="110">
        <v>10.002029535027754</v>
      </c>
      <c r="J164" s="110">
        <v>10.846396833893971</v>
      </c>
      <c r="K164" s="110">
        <v>11.777023737486715</v>
      </c>
      <c r="L164" s="110">
        <v>12.559873439302601</v>
      </c>
      <c r="M164" s="110">
        <v>13.160067752774527</v>
      </c>
      <c r="N164" s="110">
        <v>13.747911621480469</v>
      </c>
      <c r="O164" s="110">
        <v>14.041136909820704</v>
      </c>
      <c r="P164" s="110">
        <v>14.325040686118856</v>
      </c>
      <c r="Q164" s="110">
        <v>14.594099778456572</v>
      </c>
      <c r="R164" s="110">
        <v>14.854813373658176</v>
      </c>
      <c r="S164" s="110">
        <v>15.102494260632854</v>
      </c>
      <c r="T164" s="110">
        <v>15.343062354449717</v>
      </c>
      <c r="U164" s="110">
        <v>15.574714121487473</v>
      </c>
      <c r="V164" s="110">
        <v>15.802038334431469</v>
      </c>
    </row>
    <row r="165" spans="1:22" x14ac:dyDescent="0.3">
      <c r="A165" t="s">
        <v>129</v>
      </c>
      <c r="B165" t="s">
        <v>3</v>
      </c>
      <c r="C165" t="s">
        <v>224</v>
      </c>
      <c r="F165" s="17"/>
      <c r="H165" s="110">
        <v>16.099999999999998</v>
      </c>
      <c r="I165" s="110">
        <v>17.036020572605409</v>
      </c>
      <c r="J165" s="110">
        <v>17.117125490369069</v>
      </c>
      <c r="K165" s="110">
        <v>17.173274934713657</v>
      </c>
      <c r="L165" s="110">
        <v>17.28684082531052</v>
      </c>
      <c r="M165" s="110">
        <v>17.373511271553248</v>
      </c>
      <c r="N165" s="110">
        <v>17.741208170934112</v>
      </c>
      <c r="O165" s="110">
        <v>17.881669189474593</v>
      </c>
      <c r="P165" s="110">
        <v>18.029099870065746</v>
      </c>
      <c r="Q165" s="110">
        <v>18.181638882838048</v>
      </c>
      <c r="R165" s="110">
        <v>18.338759517814683</v>
      </c>
      <c r="S165" s="110">
        <v>18.497740500612526</v>
      </c>
      <c r="T165" s="110">
        <v>18.657774746899594</v>
      </c>
      <c r="U165" s="110">
        <v>18.817812514140385</v>
      </c>
      <c r="V165" s="110">
        <v>18.97700903653303</v>
      </c>
    </row>
    <row r="166" spans="1:22" x14ac:dyDescent="0.3">
      <c r="A166" t="s">
        <v>189</v>
      </c>
      <c r="B166" t="s">
        <v>56</v>
      </c>
      <c r="C166" t="s">
        <v>221</v>
      </c>
      <c r="F166" s="17"/>
      <c r="H166" s="110">
        <v>1.3</v>
      </c>
      <c r="I166" s="110">
        <v>1.8478187852781216</v>
      </c>
      <c r="J166" s="110">
        <v>3.0500674209796772</v>
      </c>
      <c r="K166" s="110">
        <v>3.8567519921936038</v>
      </c>
      <c r="L166" s="110">
        <v>3.8724407522817677</v>
      </c>
      <c r="M166" s="110">
        <v>3.865601449277531</v>
      </c>
      <c r="N166" s="110">
        <v>3.834427467318271</v>
      </c>
      <c r="O166" s="110">
        <v>3.7937783157986291</v>
      </c>
      <c r="P166" s="110">
        <v>3.753834532330993</v>
      </c>
      <c r="Q166" s="110">
        <v>3.7143434080240185</v>
      </c>
      <c r="R166" s="110">
        <v>3.6751641553980927</v>
      </c>
      <c r="S166" s="110">
        <v>3.6362983771179351</v>
      </c>
      <c r="T166" s="110">
        <v>3.5977899831000983</v>
      </c>
      <c r="U166" s="110">
        <v>3.5594182682130908</v>
      </c>
      <c r="V166" s="110">
        <v>3.5209806636542145</v>
      </c>
    </row>
    <row r="167" spans="1:22" x14ac:dyDescent="0.3"/>
    <row r="168" spans="1:22" ht="20" thickBot="1" x14ac:dyDescent="0.5">
      <c r="A168" s="1" t="s">
        <v>418</v>
      </c>
    </row>
    <row r="169" spans="1:22" ht="14.5" thickTop="1" x14ac:dyDescent="0.3"/>
    <row r="170" spans="1:22" x14ac:dyDescent="0.3">
      <c r="A170" t="s">
        <v>111</v>
      </c>
      <c r="B170" t="s">
        <v>3</v>
      </c>
      <c r="C170" t="s">
        <v>221</v>
      </c>
      <c r="F170" s="17"/>
      <c r="H170" s="13">
        <f>H6-H88</f>
        <v>0</v>
      </c>
      <c r="I170" s="13">
        <f t="shared" ref="I170:V170" si="1">I6-I88</f>
        <v>9.2794726194897592E-2</v>
      </c>
      <c r="J170" s="13">
        <f t="shared" si="1"/>
        <v>-0.23601001193828841</v>
      </c>
      <c r="K170" s="13">
        <f t="shared" si="1"/>
        <v>-0.43617257845457136</v>
      </c>
      <c r="L170" s="13">
        <f t="shared" si="1"/>
        <v>-0.43311407725355466</v>
      </c>
      <c r="M170" s="13">
        <f t="shared" si="1"/>
        <v>-0.42881423412337183</v>
      </c>
      <c r="N170" s="13">
        <f t="shared" si="1"/>
        <v>-0.43343284113262248</v>
      </c>
      <c r="O170" s="13">
        <f t="shared" si="1"/>
        <v>-0.4345259881975656</v>
      </c>
      <c r="P170" s="13">
        <f t="shared" si="1"/>
        <v>-0.43611444814026168</v>
      </c>
      <c r="Q170" s="13">
        <f t="shared" si="1"/>
        <v>-0.43787516601431142</v>
      </c>
      <c r="R170" s="13">
        <f t="shared" si="1"/>
        <v>-0.43971475342285582</v>
      </c>
      <c r="S170" s="13">
        <f t="shared" si="1"/>
        <v>-0.44162352842866848</v>
      </c>
      <c r="T170" s="13">
        <f t="shared" si="1"/>
        <v>-0.44359369497207468</v>
      </c>
      <c r="U170" s="13">
        <f t="shared" si="1"/>
        <v>-0.44568777375926705</v>
      </c>
      <c r="V170" s="13">
        <f t="shared" si="1"/>
        <v>-0.44791282148817846</v>
      </c>
    </row>
    <row r="171" spans="1:22" x14ac:dyDescent="0.3">
      <c r="A171" t="s">
        <v>163</v>
      </c>
      <c r="B171" t="s">
        <v>56</v>
      </c>
      <c r="C171" t="s">
        <v>221</v>
      </c>
      <c r="F171" s="17"/>
      <c r="H171" s="13">
        <f t="shared" ref="H171:V171" si="2">H7-H89</f>
        <v>0</v>
      </c>
      <c r="I171" s="13">
        <f t="shared" si="2"/>
        <v>-1.9843455064612714E-2</v>
      </c>
      <c r="J171" s="13">
        <f t="shared" si="2"/>
        <v>-8.2974747929425607E-2</v>
      </c>
      <c r="K171" s="13">
        <f t="shared" si="2"/>
        <v>-0.12287630337283661</v>
      </c>
      <c r="L171" s="13">
        <f t="shared" si="2"/>
        <v>-0.12155758650661075</v>
      </c>
      <c r="M171" s="13">
        <f t="shared" si="2"/>
        <v>-9.5482008743339675E-2</v>
      </c>
      <c r="N171" s="13">
        <f t="shared" si="2"/>
        <v>-8.6030807234818152E-2</v>
      </c>
      <c r="O171" s="13">
        <f t="shared" si="2"/>
        <v>-8.1561824738742628E-2</v>
      </c>
      <c r="P171" s="13">
        <f t="shared" si="2"/>
        <v>-7.8094096308309657E-2</v>
      </c>
      <c r="Q171" s="13">
        <f t="shared" si="2"/>
        <v>-7.5368260357553618E-2</v>
      </c>
      <c r="R171" s="13">
        <f t="shared" si="2"/>
        <v>-7.3281411881243708E-2</v>
      </c>
      <c r="S171" s="13">
        <f t="shared" si="2"/>
        <v>-7.1847501751335363E-2</v>
      </c>
      <c r="T171" s="13">
        <f t="shared" si="2"/>
        <v>-7.0983018746128224E-2</v>
      </c>
      <c r="U171" s="13">
        <f t="shared" si="2"/>
        <v>-7.0501311660112753E-2</v>
      </c>
      <c r="V171" s="13">
        <f t="shared" si="2"/>
        <v>-7.030290922890603E-2</v>
      </c>
    </row>
    <row r="172" spans="1:22" x14ac:dyDescent="0.3">
      <c r="A172" t="s">
        <v>164</v>
      </c>
      <c r="B172" t="s">
        <v>56</v>
      </c>
      <c r="C172" t="s">
        <v>221</v>
      </c>
      <c r="F172" s="17"/>
      <c r="H172" s="13">
        <f t="shared" ref="H172:V172" si="3">H8-H90</f>
        <v>0</v>
      </c>
      <c r="I172" s="13">
        <f t="shared" si="3"/>
        <v>-3.2134270741398279</v>
      </c>
      <c r="J172" s="13">
        <f t="shared" si="3"/>
        <v>-3.6050003834007409</v>
      </c>
      <c r="K172" s="13">
        <f t="shared" si="3"/>
        <v>-4.0065863260269978</v>
      </c>
      <c r="L172" s="13">
        <f t="shared" si="3"/>
        <v>-4.5210376802589476</v>
      </c>
      <c r="M172" s="13">
        <f t="shared" si="3"/>
        <v>-5.0584935074785395</v>
      </c>
      <c r="N172" s="13">
        <f t="shared" si="3"/>
        <v>-5.716768991275794</v>
      </c>
      <c r="O172" s="13">
        <f t="shared" si="3"/>
        <v>-6.0379229395185394</v>
      </c>
      <c r="P172" s="13">
        <f t="shared" si="3"/>
        <v>-6.3623410235170201</v>
      </c>
      <c r="Q172" s="13">
        <f t="shared" si="3"/>
        <v>-6.6885649564577836</v>
      </c>
      <c r="R172" s="13">
        <f t="shared" si="3"/>
        <v>-7.0159648208398782</v>
      </c>
      <c r="S172" s="13">
        <f t="shared" si="3"/>
        <v>-7.3448163224840055</v>
      </c>
      <c r="T172" s="13">
        <f t="shared" si="3"/>
        <v>-7.6751014070142585</v>
      </c>
      <c r="U172" s="13">
        <f t="shared" si="3"/>
        <v>-8.0064533754092526</v>
      </c>
      <c r="V172" s="13">
        <f t="shared" si="3"/>
        <v>-8.3387802939577345</v>
      </c>
    </row>
    <row r="173" spans="1:22" x14ac:dyDescent="0.3">
      <c r="A173" t="s">
        <v>130</v>
      </c>
      <c r="B173" t="s">
        <v>23</v>
      </c>
      <c r="C173" t="s">
        <v>222</v>
      </c>
      <c r="F173" s="17"/>
      <c r="H173" s="13">
        <f t="shared" ref="H173:V173" si="4">H9-H91</f>
        <v>0</v>
      </c>
      <c r="I173" s="13">
        <f t="shared" si="4"/>
        <v>-0.11598767832964541</v>
      </c>
      <c r="J173" s="13">
        <f t="shared" si="4"/>
        <v>-0.42650350531384973</v>
      </c>
      <c r="K173" s="13">
        <f t="shared" si="4"/>
        <v>-0.6357543068153948</v>
      </c>
      <c r="L173" s="13">
        <f t="shared" si="4"/>
        <v>-0.80029340412866468</v>
      </c>
      <c r="M173" s="13">
        <f t="shared" si="4"/>
        <v>-0.95272698614677687</v>
      </c>
      <c r="N173" s="13">
        <f t="shared" si="4"/>
        <v>-1.1210005171474791</v>
      </c>
      <c r="O173" s="13">
        <f t="shared" si="4"/>
        <v>-0.92517839970489391</v>
      </c>
      <c r="P173" s="13">
        <f t="shared" si="4"/>
        <v>-0.73501786249533829</v>
      </c>
      <c r="Q173" s="13">
        <f t="shared" si="4"/>
        <v>-0.55002365451544932</v>
      </c>
      <c r="R173" s="13">
        <f t="shared" si="4"/>
        <v>-0.36519853432695726</v>
      </c>
      <c r="S173" s="13">
        <f t="shared" si="4"/>
        <v>-0.18963031693579779</v>
      </c>
      <c r="T173" s="13">
        <f t="shared" si="4"/>
        <v>-2.4605210996867299E-2</v>
      </c>
      <c r="U173" s="13">
        <f t="shared" si="4"/>
        <v>0.13025248681972812</v>
      </c>
      <c r="V173" s="13">
        <f t="shared" si="4"/>
        <v>0.27346106032947759</v>
      </c>
    </row>
    <row r="174" spans="1:22" x14ac:dyDescent="0.3">
      <c r="A174" t="s">
        <v>147</v>
      </c>
      <c r="B174" t="s">
        <v>41</v>
      </c>
      <c r="C174" t="s">
        <v>221</v>
      </c>
      <c r="F174" s="17"/>
      <c r="H174" s="13">
        <f t="shared" ref="H174:V174" si="5">H10-H92</f>
        <v>0</v>
      </c>
      <c r="I174" s="13">
        <f t="shared" si="5"/>
        <v>0.26940652957233446</v>
      </c>
      <c r="J174" s="13">
        <f t="shared" si="5"/>
        <v>0.117815422757793</v>
      </c>
      <c r="K174" s="13">
        <f t="shared" si="5"/>
        <v>-3.0619377512424606E-2</v>
      </c>
      <c r="L174" s="13">
        <f t="shared" si="5"/>
        <v>-8.5249573350949515E-2</v>
      </c>
      <c r="M174" s="13">
        <f t="shared" si="5"/>
        <v>-0.16831036754942286</v>
      </c>
      <c r="N174" s="13">
        <f t="shared" si="5"/>
        <v>-0.27584964909902121</v>
      </c>
      <c r="O174" s="13">
        <f t="shared" si="5"/>
        <v>-0.34600208089814055</v>
      </c>
      <c r="P174" s="13">
        <f t="shared" si="5"/>
        <v>-0.4153077747983942</v>
      </c>
      <c r="Q174" s="13">
        <f t="shared" si="5"/>
        <v>-0.48397822365350729</v>
      </c>
      <c r="R174" s="13">
        <f t="shared" si="5"/>
        <v>-0.55215456145596553</v>
      </c>
      <c r="S174" s="13">
        <f t="shared" si="5"/>
        <v>-0.6199108117749752</v>
      </c>
      <c r="T174" s="13">
        <f t="shared" si="5"/>
        <v>-0.6872627960913178</v>
      </c>
      <c r="U174" s="13">
        <f t="shared" si="5"/>
        <v>-0.75422022662122634</v>
      </c>
      <c r="V174" s="13">
        <f t="shared" si="5"/>
        <v>-0.82082239389466372</v>
      </c>
    </row>
    <row r="175" spans="1:22" x14ac:dyDescent="0.3">
      <c r="A175" t="s">
        <v>148</v>
      </c>
      <c r="B175" t="s">
        <v>41</v>
      </c>
      <c r="C175" t="s">
        <v>221</v>
      </c>
      <c r="F175" s="17"/>
      <c r="H175" s="13">
        <f t="shared" ref="H175:V175" si="6">H11-H93</f>
        <v>0</v>
      </c>
      <c r="I175" s="13">
        <f t="shared" si="6"/>
        <v>0.62761724397623286</v>
      </c>
      <c r="J175" s="13">
        <f t="shared" si="6"/>
        <v>0.41023689697596311</v>
      </c>
      <c r="K175" s="13">
        <f t="shared" si="6"/>
        <v>0.26210685090339769</v>
      </c>
      <c r="L175" s="13">
        <f t="shared" si="6"/>
        <v>0.13273434965311104</v>
      </c>
      <c r="M175" s="13">
        <f t="shared" si="6"/>
        <v>-3.7106945867910746E-2</v>
      </c>
      <c r="N175" s="13">
        <f t="shared" si="6"/>
        <v>-0.23468592213978123</v>
      </c>
      <c r="O175" s="13">
        <f t="shared" si="6"/>
        <v>-0.3932698104185306</v>
      </c>
      <c r="P175" s="13">
        <f t="shared" si="6"/>
        <v>-0.55130129694773888</v>
      </c>
      <c r="Q175" s="13">
        <f t="shared" si="6"/>
        <v>-0.70740211074775328</v>
      </c>
      <c r="R175" s="13">
        <f t="shared" si="6"/>
        <v>-0.86049901875333568</v>
      </c>
      <c r="S175" s="13">
        <f t="shared" si="6"/>
        <v>-1.0105230840215205</v>
      </c>
      <c r="T175" s="13">
        <f t="shared" si="6"/>
        <v>-1.1579069588291508</v>
      </c>
      <c r="U175" s="13">
        <f t="shared" si="6"/>
        <v>-1.3033627088420845</v>
      </c>
      <c r="V175" s="13">
        <f t="shared" si="6"/>
        <v>-1.4473706442023424</v>
      </c>
    </row>
    <row r="176" spans="1:22" x14ac:dyDescent="0.3">
      <c r="A176" t="s">
        <v>149</v>
      </c>
      <c r="B176" t="s">
        <v>41</v>
      </c>
      <c r="C176" t="s">
        <v>222</v>
      </c>
      <c r="F176" s="17"/>
      <c r="H176" s="13">
        <f t="shared" ref="H176:V176" si="7">H12-H94</f>
        <v>0</v>
      </c>
      <c r="I176" s="13">
        <f t="shared" si="7"/>
        <v>5.5781844888434406E-2</v>
      </c>
      <c r="J176" s="13">
        <f t="shared" si="7"/>
        <v>7.1471027041777546E-2</v>
      </c>
      <c r="K176" s="13">
        <f t="shared" si="7"/>
        <v>3.2137232940332439E-2</v>
      </c>
      <c r="L176" s="13">
        <f t="shared" si="7"/>
        <v>-2.7765061734381646E-3</v>
      </c>
      <c r="M176" s="13">
        <f t="shared" si="7"/>
        <v>1.8871810493799046E-3</v>
      </c>
      <c r="N176" s="13">
        <f t="shared" si="7"/>
        <v>-6.413404151183677E-2</v>
      </c>
      <c r="O176" s="13">
        <f t="shared" si="7"/>
        <v>8.1238950681234101E-2</v>
      </c>
      <c r="P176" s="13">
        <f t="shared" si="7"/>
        <v>0.22279099910525701</v>
      </c>
      <c r="Q176" s="13">
        <f t="shared" si="7"/>
        <v>0.36083108236607053</v>
      </c>
      <c r="R176" s="13">
        <f t="shared" si="7"/>
        <v>0.49897325425142824</v>
      </c>
      <c r="S176" s="13">
        <f t="shared" si="7"/>
        <v>0.63051229305591683</v>
      </c>
      <c r="T176" s="13">
        <f t="shared" si="7"/>
        <v>0.7548036834122609</v>
      </c>
      <c r="U176" s="13">
        <f t="shared" si="7"/>
        <v>0.8716774037848527</v>
      </c>
      <c r="V176" s="13">
        <f t="shared" si="7"/>
        <v>0.98030803893120932</v>
      </c>
    </row>
    <row r="177" spans="1:22" x14ac:dyDescent="0.3">
      <c r="A177" t="s">
        <v>112</v>
      </c>
      <c r="B177" t="s">
        <v>3</v>
      </c>
      <c r="C177" t="s">
        <v>221</v>
      </c>
      <c r="F177" s="17"/>
      <c r="H177" s="13">
        <f t="shared" ref="H177:V177" si="8">H13-H95</f>
        <v>0</v>
      </c>
      <c r="I177" s="13">
        <f t="shared" si="8"/>
        <v>7.2795545694834374E-2</v>
      </c>
      <c r="J177" s="13">
        <f t="shared" si="8"/>
        <v>-0.24808838901770924</v>
      </c>
      <c r="K177" s="13">
        <f t="shared" si="8"/>
        <v>-0.37070959098314482</v>
      </c>
      <c r="L177" s="13">
        <f t="shared" si="8"/>
        <v>-0.33732275000361245</v>
      </c>
      <c r="M177" s="13">
        <f t="shared" si="8"/>
        <v>-0.34843313487495609</v>
      </c>
      <c r="N177" s="13">
        <f t="shared" si="8"/>
        <v>-0.35338501657539645</v>
      </c>
      <c r="O177" s="13">
        <f t="shared" si="8"/>
        <v>-0.3541414643547296</v>
      </c>
      <c r="P177" s="13">
        <f t="shared" si="8"/>
        <v>-0.35579804474522536</v>
      </c>
      <c r="Q177" s="13">
        <f t="shared" si="8"/>
        <v>-0.35810291586269871</v>
      </c>
      <c r="R177" s="13">
        <f t="shared" si="8"/>
        <v>-0.36085172048325909</v>
      </c>
      <c r="S177" s="13">
        <f t="shared" si="8"/>
        <v>-0.36390234194946514</v>
      </c>
      <c r="T177" s="13">
        <f t="shared" si="8"/>
        <v>-0.3672622458356658</v>
      </c>
      <c r="U177" s="13">
        <f t="shared" si="8"/>
        <v>-0.37092433292464477</v>
      </c>
      <c r="V177" s="13">
        <f t="shared" si="8"/>
        <v>-0.37474952284122764</v>
      </c>
    </row>
    <row r="178" spans="1:22" x14ac:dyDescent="0.3">
      <c r="A178" t="s">
        <v>113</v>
      </c>
      <c r="B178" t="s">
        <v>3</v>
      </c>
      <c r="C178" t="s">
        <v>222</v>
      </c>
      <c r="F178" s="17"/>
      <c r="H178" s="13">
        <f t="shared" ref="H178:V178" si="9">H14-H96</f>
        <v>0</v>
      </c>
      <c r="I178" s="13">
        <f t="shared" si="9"/>
        <v>0.18211804247379426</v>
      </c>
      <c r="J178" s="13">
        <f t="shared" si="9"/>
        <v>0.25323961461069722</v>
      </c>
      <c r="K178" s="13">
        <f t="shared" si="9"/>
        <v>0.23425054431559822</v>
      </c>
      <c r="L178" s="13">
        <f t="shared" si="9"/>
        <v>6.862835143930468E-2</v>
      </c>
      <c r="M178" s="13">
        <f t="shared" si="9"/>
        <v>1.6439561850100759E-2</v>
      </c>
      <c r="N178" s="13">
        <f t="shared" si="9"/>
        <v>-9.2721793161667065E-2</v>
      </c>
      <c r="O178" s="13">
        <f t="shared" si="9"/>
        <v>9.0704059427904937E-2</v>
      </c>
      <c r="P178" s="13">
        <f t="shared" si="9"/>
        <v>0.27249264549379859</v>
      </c>
      <c r="Q178" s="13">
        <f t="shared" si="9"/>
        <v>0.45221911138188453</v>
      </c>
      <c r="R178" s="13">
        <f t="shared" si="9"/>
        <v>0.63462657685579238</v>
      </c>
      <c r="S178" s="13">
        <f t="shared" si="9"/>
        <v>0.81167371589952353</v>
      </c>
      <c r="T178" s="13">
        <f t="shared" si="9"/>
        <v>0.98184072855903359</v>
      </c>
      <c r="U178" s="13">
        <f t="shared" si="9"/>
        <v>1.1441940424215975</v>
      </c>
      <c r="V178" s="13">
        <f t="shared" si="9"/>
        <v>1.2977065503348086</v>
      </c>
    </row>
    <row r="179" spans="1:22" x14ac:dyDescent="0.3">
      <c r="A179" t="s">
        <v>165</v>
      </c>
      <c r="B179" t="s">
        <v>56</v>
      </c>
      <c r="C179" t="s">
        <v>222</v>
      </c>
      <c r="F179" s="17"/>
      <c r="H179" s="13">
        <f t="shared" ref="H179:V179" si="10">H15-H97</f>
        <v>0</v>
      </c>
      <c r="I179" s="13">
        <f t="shared" si="10"/>
        <v>4.6311799339047717</v>
      </c>
      <c r="J179" s="13">
        <f t="shared" si="10"/>
        <v>4.5579007621433298</v>
      </c>
      <c r="K179" s="13">
        <f t="shared" si="10"/>
        <v>4.6048337994450002</v>
      </c>
      <c r="L179" s="13">
        <f t="shared" si="10"/>
        <v>4.6100682494843355</v>
      </c>
      <c r="M179" s="13">
        <f t="shared" si="10"/>
        <v>5.0635210227376177</v>
      </c>
      <c r="N179" s="13">
        <f t="shared" si="10"/>
        <v>5.1361864915614284</v>
      </c>
      <c r="O179" s="13">
        <f t="shared" si="10"/>
        <v>5.5389543308619835</v>
      </c>
      <c r="P179" s="13">
        <f t="shared" si="10"/>
        <v>5.9358425508436632</v>
      </c>
      <c r="Q179" s="13">
        <f t="shared" si="10"/>
        <v>6.322348831129549</v>
      </c>
      <c r="R179" s="13">
        <f t="shared" si="10"/>
        <v>6.707658948373826</v>
      </c>
      <c r="S179" s="13">
        <f t="shared" si="10"/>
        <v>7.0772851965970709</v>
      </c>
      <c r="T179" s="13">
        <f t="shared" si="10"/>
        <v>7.4304116099970479</v>
      </c>
      <c r="U179" s="13">
        <f t="shared" si="10"/>
        <v>7.7665883309601611</v>
      </c>
      <c r="V179" s="13">
        <f t="shared" si="10"/>
        <v>8.0828622549477096</v>
      </c>
    </row>
    <row r="180" spans="1:22" x14ac:dyDescent="0.3">
      <c r="A180" t="s">
        <v>131</v>
      </c>
      <c r="B180" t="s">
        <v>23</v>
      </c>
      <c r="C180" t="s">
        <v>221</v>
      </c>
      <c r="F180" s="17"/>
      <c r="H180" s="13">
        <f t="shared" ref="H180:V180" si="11">H16-H98</f>
        <v>0</v>
      </c>
      <c r="I180" s="13">
        <f t="shared" si="11"/>
        <v>-1.0825795378372951</v>
      </c>
      <c r="J180" s="13">
        <f t="shared" si="11"/>
        <v>-3.1200234250462193</v>
      </c>
      <c r="K180" s="13">
        <f t="shared" si="11"/>
        <v>-4.3819511138214891</v>
      </c>
      <c r="L180" s="13">
        <f t="shared" si="11"/>
        <v>-4.2943820341660777</v>
      </c>
      <c r="M180" s="13">
        <f t="shared" si="11"/>
        <v>-4.1870038901605078</v>
      </c>
      <c r="N180" s="13">
        <f t="shared" si="11"/>
        <v>-4.1164475815647164</v>
      </c>
      <c r="O180" s="13">
        <f t="shared" si="11"/>
        <v>-4.0484570371410955</v>
      </c>
      <c r="P180" s="13">
        <f t="shared" si="11"/>
        <v>-3.98081271727564</v>
      </c>
      <c r="Q180" s="13">
        <f t="shared" si="11"/>
        <v>-3.9134547053754725</v>
      </c>
      <c r="R180" s="13">
        <f t="shared" si="11"/>
        <v>-3.8470109632682874</v>
      </c>
      <c r="S180" s="13">
        <f t="shared" si="11"/>
        <v>-3.7815500050188842</v>
      </c>
      <c r="T180" s="13">
        <f t="shared" si="11"/>
        <v>-3.7167384636443437</v>
      </c>
      <c r="U180" s="13">
        <f t="shared" si="11"/>
        <v>-3.6522057226888336</v>
      </c>
      <c r="V180" s="13">
        <f t="shared" si="11"/>
        <v>-3.5875699144862683</v>
      </c>
    </row>
    <row r="181" spans="1:22" x14ac:dyDescent="0.3">
      <c r="A181" t="s">
        <v>132</v>
      </c>
      <c r="B181" t="s">
        <v>23</v>
      </c>
      <c r="C181" t="s">
        <v>221</v>
      </c>
      <c r="F181" s="17"/>
      <c r="H181" s="13">
        <f t="shared" ref="H181:V181" si="12">H17-H99</f>
        <v>0</v>
      </c>
      <c r="I181" s="13">
        <f t="shared" si="12"/>
        <v>0.45973736117158692</v>
      </c>
      <c r="J181" s="13">
        <f t="shared" si="12"/>
        <v>0.37147178648426715</v>
      </c>
      <c r="K181" s="13">
        <f t="shared" si="12"/>
        <v>0.32467062050421358</v>
      </c>
      <c r="L181" s="13">
        <f t="shared" si="12"/>
        <v>0.31199504671615319</v>
      </c>
      <c r="M181" s="13">
        <f t="shared" si="12"/>
        <v>0.24007003371085522</v>
      </c>
      <c r="N181" s="13">
        <f t="shared" si="12"/>
        <v>0.15503211002923312</v>
      </c>
      <c r="O181" s="13">
        <f t="shared" si="12"/>
        <v>0.14135736666867071</v>
      </c>
      <c r="P181" s="13">
        <f t="shared" si="12"/>
        <v>0.1271359856538572</v>
      </c>
      <c r="Q181" s="13">
        <f t="shared" si="12"/>
        <v>0.11238657951078324</v>
      </c>
      <c r="R181" s="13">
        <f t="shared" si="12"/>
        <v>9.7211531724235911E-2</v>
      </c>
      <c r="S181" s="13">
        <f t="shared" si="12"/>
        <v>8.1625244224337479E-2</v>
      </c>
      <c r="T181" s="13">
        <f t="shared" si="12"/>
        <v>6.5823190439687984E-2</v>
      </c>
      <c r="U181" s="13">
        <f t="shared" si="12"/>
        <v>4.9966154271240626E-2</v>
      </c>
      <c r="V181" s="13">
        <f t="shared" si="12"/>
        <v>3.4058048942507746E-2</v>
      </c>
    </row>
    <row r="182" spans="1:22" x14ac:dyDescent="0.3">
      <c r="A182" t="s">
        <v>150</v>
      </c>
      <c r="B182" t="s">
        <v>41</v>
      </c>
      <c r="C182" t="s">
        <v>224</v>
      </c>
      <c r="F182" s="17"/>
      <c r="H182" s="13">
        <f t="shared" ref="H182:V182" si="13">H18-H100</f>
        <v>0</v>
      </c>
      <c r="I182" s="13">
        <f t="shared" si="13"/>
        <v>-2.0960803906497798</v>
      </c>
      <c r="J182" s="13">
        <f t="shared" si="13"/>
        <v>-2.2266142516548797</v>
      </c>
      <c r="K182" s="13">
        <f t="shared" si="13"/>
        <v>-2.4324435976187697</v>
      </c>
      <c r="L182" s="13">
        <f t="shared" si="13"/>
        <v>-2.8714500067385718</v>
      </c>
      <c r="M182" s="13">
        <f t="shared" si="13"/>
        <v>-3.0302493212731019</v>
      </c>
      <c r="N182" s="13">
        <f t="shared" si="13"/>
        <v>-3.6033634302231121</v>
      </c>
      <c r="O182" s="13">
        <f t="shared" si="13"/>
        <v>-3.9618495992114724</v>
      </c>
      <c r="P182" s="13">
        <f t="shared" si="13"/>
        <v>-4.3301835640085908</v>
      </c>
      <c r="Q182" s="13">
        <f t="shared" si="13"/>
        <v>-4.7078769144807104</v>
      </c>
      <c r="R182" s="13">
        <f t="shared" si="13"/>
        <v>-5.0763179137435017</v>
      </c>
      <c r="S182" s="13">
        <f t="shared" si="13"/>
        <v>-5.4403907488845142</v>
      </c>
      <c r="T182" s="13">
        <f t="shared" si="13"/>
        <v>-5.7993251644657295</v>
      </c>
      <c r="U182" s="13">
        <f t="shared" si="13"/>
        <v>-6.1505504826791046</v>
      </c>
      <c r="V182" s="13">
        <f t="shared" si="13"/>
        <v>-6.4876684360742569</v>
      </c>
    </row>
    <row r="183" spans="1:22" x14ac:dyDescent="0.3">
      <c r="A183" t="s">
        <v>151</v>
      </c>
      <c r="B183" t="s">
        <v>41</v>
      </c>
      <c r="C183" t="s">
        <v>224</v>
      </c>
      <c r="F183" s="17"/>
      <c r="H183" s="13">
        <f t="shared" ref="H183:V183" si="14">H19-H101</f>
        <v>0</v>
      </c>
      <c r="I183" s="13">
        <f t="shared" si="14"/>
        <v>-4.6353842575038371</v>
      </c>
      <c r="J183" s="13">
        <f t="shared" si="14"/>
        <v>-4.5913073177463133</v>
      </c>
      <c r="K183" s="13">
        <f t="shared" si="14"/>
        <v>-4.772440887436403</v>
      </c>
      <c r="L183" s="13">
        <f t="shared" si="14"/>
        <v>-5.2317877810959672</v>
      </c>
      <c r="M183" s="13">
        <f t="shared" si="14"/>
        <v>-5.3235223422493689</v>
      </c>
      <c r="N183" s="13">
        <f t="shared" si="14"/>
        <v>-5.9649177208244737</v>
      </c>
      <c r="O183" s="13">
        <f t="shared" si="14"/>
        <v>-6.3479240756018243</v>
      </c>
      <c r="P183" s="13">
        <f t="shared" si="14"/>
        <v>-6.7283396858359126</v>
      </c>
      <c r="Q183" s="13">
        <f t="shared" si="14"/>
        <v>-7.1091186178074892</v>
      </c>
      <c r="R183" s="13">
        <f t="shared" si="14"/>
        <v>-7.4598605503180693</v>
      </c>
      <c r="S183" s="13">
        <f t="shared" si="14"/>
        <v>-7.8098074154866026</v>
      </c>
      <c r="T183" s="13">
        <f t="shared" si="14"/>
        <v>-8.1583314820843853</v>
      </c>
      <c r="U183" s="13">
        <f t="shared" si="14"/>
        <v>-8.4960070951784346</v>
      </c>
      <c r="V183" s="13">
        <f t="shared" si="14"/>
        <v>-8.8199282072786218</v>
      </c>
    </row>
    <row r="184" spans="1:22" x14ac:dyDescent="0.3">
      <c r="A184" t="s">
        <v>133</v>
      </c>
      <c r="B184" t="s">
        <v>23</v>
      </c>
      <c r="C184" t="s">
        <v>221</v>
      </c>
      <c r="F184" s="17"/>
      <c r="H184" s="13">
        <f t="shared" ref="H184:V184" si="15">H20-H102</f>
        <v>0</v>
      </c>
      <c r="I184" s="13">
        <f t="shared" si="15"/>
        <v>-0.20924972429075828</v>
      </c>
      <c r="J184" s="13">
        <f t="shared" si="15"/>
        <v>-0.36566304007057382</v>
      </c>
      <c r="K184" s="13">
        <f t="shared" si="15"/>
        <v>-0.47068070957171004</v>
      </c>
      <c r="L184" s="13">
        <f t="shared" si="15"/>
        <v>-0.4608626368406481</v>
      </c>
      <c r="M184" s="13">
        <f t="shared" si="15"/>
        <v>-0.46719301270647851</v>
      </c>
      <c r="N184" s="13">
        <f t="shared" si="15"/>
        <v>-0.48248343843476249</v>
      </c>
      <c r="O184" s="13">
        <f t="shared" si="15"/>
        <v>-0.48732440104775709</v>
      </c>
      <c r="P184" s="13">
        <f t="shared" si="15"/>
        <v>-0.4923125489054454</v>
      </c>
      <c r="Q184" s="13">
        <f t="shared" si="15"/>
        <v>-0.49731196364955488</v>
      </c>
      <c r="R184" s="13">
        <f t="shared" si="15"/>
        <v>-0.50234294745597974</v>
      </c>
      <c r="S184" s="13">
        <f t="shared" si="15"/>
        <v>-0.50747675052205587</v>
      </c>
      <c r="T184" s="13">
        <f t="shared" si="15"/>
        <v>-0.51263606114709037</v>
      </c>
      <c r="U184" s="13">
        <f t="shared" si="15"/>
        <v>-0.51771003432622131</v>
      </c>
      <c r="V184" s="13">
        <f t="shared" si="15"/>
        <v>-0.52265491504737271</v>
      </c>
    </row>
    <row r="185" spans="1:22" x14ac:dyDescent="0.3">
      <c r="A185" t="s">
        <v>166</v>
      </c>
      <c r="B185" t="s">
        <v>56</v>
      </c>
      <c r="C185" t="s">
        <v>221</v>
      </c>
      <c r="F185" s="17"/>
      <c r="H185" s="13">
        <f t="shared" ref="H185:V185" si="16">H21-H103</f>
        <v>0</v>
      </c>
      <c r="I185" s="13">
        <f t="shared" si="16"/>
        <v>4.9596899847786924E-2</v>
      </c>
      <c r="J185" s="13">
        <f t="shared" si="16"/>
        <v>6.1507437203494497E-2</v>
      </c>
      <c r="K185" s="13">
        <f t="shared" si="16"/>
        <v>8.928754168956754E-2</v>
      </c>
      <c r="L185" s="13">
        <f t="shared" si="16"/>
        <v>9.1980741764761786E-2</v>
      </c>
      <c r="M185" s="13">
        <f t="shared" si="16"/>
        <v>8.6414914087180605E-2</v>
      </c>
      <c r="N185" s="13">
        <f t="shared" si="16"/>
        <v>8.5174620586438321E-2</v>
      </c>
      <c r="O185" s="13">
        <f t="shared" si="16"/>
        <v>8.6464560286772851E-2</v>
      </c>
      <c r="P185" s="13">
        <f t="shared" si="16"/>
        <v>8.7330736679333443E-2</v>
      </c>
      <c r="Q185" s="13">
        <f t="shared" si="16"/>
        <v>8.7843830059813E-2</v>
      </c>
      <c r="R185" s="13">
        <f t="shared" si="16"/>
        <v>8.7995200563247389E-2</v>
      </c>
      <c r="S185" s="13">
        <f t="shared" si="16"/>
        <v>8.7825559079613313E-2</v>
      </c>
      <c r="T185" s="13">
        <f t="shared" si="16"/>
        <v>8.742017141039482E-2</v>
      </c>
      <c r="U185" s="13">
        <f t="shared" si="16"/>
        <v>8.6853828781129572E-2</v>
      </c>
      <c r="V185" s="13">
        <f t="shared" si="16"/>
        <v>8.6172296871789289E-2</v>
      </c>
    </row>
    <row r="186" spans="1:22" x14ac:dyDescent="0.3">
      <c r="A186" t="s">
        <v>167</v>
      </c>
      <c r="B186" t="s">
        <v>56</v>
      </c>
      <c r="C186" t="s">
        <v>221</v>
      </c>
      <c r="F186" s="17"/>
      <c r="H186" s="13">
        <f t="shared" ref="H186:V186" si="17">H22-H104</f>
        <v>0</v>
      </c>
      <c r="I186" s="13">
        <f t="shared" si="17"/>
        <v>0.10778152354870452</v>
      </c>
      <c r="J186" s="13">
        <f t="shared" si="17"/>
        <v>-8.0826528486781513E-3</v>
      </c>
      <c r="K186" s="13">
        <f t="shared" si="17"/>
        <v>-9.7711441001942845E-2</v>
      </c>
      <c r="L186" s="13">
        <f t="shared" si="17"/>
        <v>-0.10078589818123151</v>
      </c>
      <c r="M186" s="13">
        <f t="shared" si="17"/>
        <v>-5.4456921036120098E-2</v>
      </c>
      <c r="N186" s="13">
        <f t="shared" si="17"/>
        <v>-6.346752452795279E-2</v>
      </c>
      <c r="O186" s="13">
        <f t="shared" si="17"/>
        <v>-5.3684823301884954E-2</v>
      </c>
      <c r="P186" s="13">
        <f t="shared" si="17"/>
        <v>-4.4035121961818247E-2</v>
      </c>
      <c r="Q186" s="13">
        <f t="shared" si="17"/>
        <v>-3.4442480506555517E-2</v>
      </c>
      <c r="R186" s="13">
        <f t="shared" si="17"/>
        <v>-2.4869816870205064E-2</v>
      </c>
      <c r="S186" s="13">
        <f t="shared" si="17"/>
        <v>-1.5318940385543822E-2</v>
      </c>
      <c r="T186" s="13">
        <f t="shared" si="17"/>
        <v>-5.7669123698207425E-3</v>
      </c>
      <c r="U186" s="13">
        <f t="shared" si="17"/>
        <v>3.797168469970913E-3</v>
      </c>
      <c r="V186" s="13">
        <f t="shared" si="17"/>
        <v>1.3361373951832123E-2</v>
      </c>
    </row>
    <row r="187" spans="1:22" x14ac:dyDescent="0.3">
      <c r="A187" t="s">
        <v>134</v>
      </c>
      <c r="B187" t="s">
        <v>23</v>
      </c>
      <c r="C187" t="s">
        <v>222</v>
      </c>
      <c r="F187" s="17"/>
      <c r="H187" s="13">
        <f t="shared" ref="H187:V187" si="18">H23-H105</f>
        <v>0</v>
      </c>
      <c r="I187" s="13">
        <f t="shared" si="18"/>
        <v>-2.1088137751294589</v>
      </c>
      <c r="J187" s="13">
        <f t="shared" si="18"/>
        <v>-2.4637556416430648</v>
      </c>
      <c r="K187" s="13">
        <f t="shared" si="18"/>
        <v>-2.8060912969991421</v>
      </c>
      <c r="L187" s="13">
        <f t="shared" si="18"/>
        <v>-3.149974089578814</v>
      </c>
      <c r="M187" s="13">
        <f t="shared" si="18"/>
        <v>-3.0950670076868114</v>
      </c>
      <c r="N187" s="13">
        <f t="shared" si="18"/>
        <v>-3.3823695559197411</v>
      </c>
      <c r="O187" s="13">
        <f t="shared" si="18"/>
        <v>-3.3096682570518432</v>
      </c>
      <c r="P187" s="13">
        <f t="shared" si="18"/>
        <v>-3.2367364605780082</v>
      </c>
      <c r="Q187" s="13">
        <f t="shared" si="18"/>
        <v>-3.1687685726358055</v>
      </c>
      <c r="R187" s="13">
        <f t="shared" si="18"/>
        <v>-3.1038148748277052</v>
      </c>
      <c r="S187" s="13">
        <f t="shared" si="18"/>
        <v>-3.0472779583824163</v>
      </c>
      <c r="T187" s="13">
        <f t="shared" si="18"/>
        <v>-3.0035707169249228</v>
      </c>
      <c r="U187" s="13">
        <f t="shared" si="18"/>
        <v>-2.9724084272949618</v>
      </c>
      <c r="V187" s="13">
        <f t="shared" si="18"/>
        <v>-2.9550853052419122</v>
      </c>
    </row>
    <row r="188" spans="1:22" x14ac:dyDescent="0.3">
      <c r="A188" t="s">
        <v>152</v>
      </c>
      <c r="B188" t="s">
        <v>41</v>
      </c>
      <c r="C188" t="s">
        <v>221</v>
      </c>
      <c r="F188" s="17"/>
      <c r="H188" s="13">
        <f t="shared" ref="H188:V188" si="19">H24-H106</f>
        <v>0</v>
      </c>
      <c r="I188" s="13">
        <f t="shared" si="19"/>
        <v>-5.2672774232071617E-2</v>
      </c>
      <c r="J188" s="13">
        <f t="shared" si="19"/>
        <v>-0.69709654159604462</v>
      </c>
      <c r="K188" s="13">
        <f t="shared" si="19"/>
        <v>-1.2530859049501055</v>
      </c>
      <c r="L188" s="13">
        <f t="shared" si="19"/>
        <v>-1.4298725011447138</v>
      </c>
      <c r="M188" s="13">
        <f t="shared" si="19"/>
        <v>-1.6034311753631796</v>
      </c>
      <c r="N188" s="13">
        <f t="shared" si="19"/>
        <v>-1.7692675556208703</v>
      </c>
      <c r="O188" s="13">
        <f t="shared" si="19"/>
        <v>-1.8585564228926517</v>
      </c>
      <c r="P188" s="13">
        <f t="shared" si="19"/>
        <v>-1.9463639302045452</v>
      </c>
      <c r="Q188" s="13">
        <f t="shared" si="19"/>
        <v>-2.0329709115896533</v>
      </c>
      <c r="R188" s="13">
        <f t="shared" si="19"/>
        <v>-2.1181765356731583</v>
      </c>
      <c r="S188" s="13">
        <f t="shared" si="19"/>
        <v>-2.2028380367103173</v>
      </c>
      <c r="T188" s="13">
        <f t="shared" si="19"/>
        <v>-2.2873454480405693</v>
      </c>
      <c r="U188" s="13">
        <f t="shared" si="19"/>
        <v>-2.3720222385135115</v>
      </c>
      <c r="V188" s="13">
        <f t="shared" si="19"/>
        <v>-2.4568090683150716</v>
      </c>
    </row>
    <row r="189" spans="1:22" x14ac:dyDescent="0.3">
      <c r="A189" t="s">
        <v>153</v>
      </c>
      <c r="B189" t="s">
        <v>41</v>
      </c>
      <c r="C189" t="s">
        <v>222</v>
      </c>
      <c r="F189" s="17"/>
      <c r="H189" s="13">
        <f t="shared" ref="H189:V189" si="20">H25-H107</f>
        <v>0</v>
      </c>
      <c r="I189" s="13">
        <f t="shared" si="20"/>
        <v>-1.0272039400020283</v>
      </c>
      <c r="J189" s="13">
        <f t="shared" si="20"/>
        <v>-1.1403621958733012</v>
      </c>
      <c r="K189" s="13">
        <f t="shared" si="20"/>
        <v>-1.1823303237160019</v>
      </c>
      <c r="L189" s="13">
        <f t="shared" si="20"/>
        <v>-1.3018264206062256</v>
      </c>
      <c r="M189" s="13">
        <f t="shared" si="20"/>
        <v>-1.1401708586718797</v>
      </c>
      <c r="N189" s="13">
        <f t="shared" si="20"/>
        <v>-1.1827568656972538</v>
      </c>
      <c r="O189" s="13">
        <f t="shared" si="20"/>
        <v>-0.8958519149130133</v>
      </c>
      <c r="P189" s="13">
        <f t="shared" si="20"/>
        <v>-0.62188436684840553</v>
      </c>
      <c r="Q189" s="13">
        <f t="shared" si="20"/>
        <v>-0.35834254899852525</v>
      </c>
      <c r="R189" s="13">
        <f t="shared" si="20"/>
        <v>-0.10173941245938778</v>
      </c>
      <c r="S189" s="13">
        <f t="shared" si="20"/>
        <v>0.13877419404607494</v>
      </c>
      <c r="T189" s="13">
        <f t="shared" si="20"/>
        <v>0.36326525036657031</v>
      </c>
      <c r="U189" s="13">
        <f t="shared" si="20"/>
        <v>0.57211774290306394</v>
      </c>
      <c r="V189" s="13">
        <f t="shared" si="20"/>
        <v>0.76204931210357074</v>
      </c>
    </row>
    <row r="190" spans="1:22" x14ac:dyDescent="0.3">
      <c r="A190" t="s">
        <v>135</v>
      </c>
      <c r="B190" t="s">
        <v>23</v>
      </c>
      <c r="C190" t="s">
        <v>221</v>
      </c>
      <c r="F190" s="17"/>
      <c r="H190" s="13">
        <f t="shared" ref="H190:V190" si="21">H26-H108</f>
        <v>0</v>
      </c>
      <c r="I190" s="13">
        <f t="shared" si="21"/>
        <v>0.30796449541520232</v>
      </c>
      <c r="J190" s="13">
        <f t="shared" si="21"/>
        <v>2.4241733645757657E-2</v>
      </c>
      <c r="K190" s="13">
        <f t="shared" si="21"/>
        <v>-0.14606849426749124</v>
      </c>
      <c r="L190" s="13">
        <f t="shared" si="21"/>
        <v>-0.12423245372539915</v>
      </c>
      <c r="M190" s="13">
        <f t="shared" si="21"/>
        <v>-0.11080385179545593</v>
      </c>
      <c r="N190" s="13">
        <f t="shared" si="21"/>
        <v>-9.4724191944352665E-2</v>
      </c>
      <c r="O190" s="13">
        <f t="shared" si="21"/>
        <v>-8.0926320701893095E-2</v>
      </c>
      <c r="P190" s="13">
        <f t="shared" si="21"/>
        <v>-6.7333210652562814E-2</v>
      </c>
      <c r="Q190" s="13">
        <f t="shared" si="21"/>
        <v>-5.3860959849407752E-2</v>
      </c>
      <c r="R190" s="13">
        <f t="shared" si="21"/>
        <v>-4.0609067546054201E-2</v>
      </c>
      <c r="S190" s="13">
        <f t="shared" si="21"/>
        <v>-2.7664193305909857E-2</v>
      </c>
      <c r="T190" s="13">
        <f t="shared" si="21"/>
        <v>-1.5015240667865637E-2</v>
      </c>
      <c r="U190" s="13">
        <f t="shared" si="21"/>
        <v>-2.5196560021951697E-3</v>
      </c>
      <c r="V190" s="13">
        <f t="shared" si="21"/>
        <v>9.897723060269259E-3</v>
      </c>
    </row>
    <row r="191" spans="1:22" x14ac:dyDescent="0.3">
      <c r="A191" t="s">
        <v>154</v>
      </c>
      <c r="B191" t="s">
        <v>41</v>
      </c>
      <c r="C191" t="s">
        <v>222</v>
      </c>
      <c r="F191" s="17"/>
      <c r="H191" s="13">
        <f t="shared" ref="H191:V191" si="22">H27-H109</f>
        <v>0</v>
      </c>
      <c r="I191" s="13">
        <f t="shared" si="22"/>
        <v>0.20807136478688726</v>
      </c>
      <c r="J191" s="13">
        <f t="shared" si="22"/>
        <v>0.10503904716092904</v>
      </c>
      <c r="K191" s="13">
        <f t="shared" si="22"/>
        <v>5.2552369087813133E-2</v>
      </c>
      <c r="L191" s="13">
        <f t="shared" si="22"/>
        <v>-0.12802027102049252</v>
      </c>
      <c r="M191" s="13">
        <f t="shared" si="22"/>
        <v>-0.11142012178007121</v>
      </c>
      <c r="N191" s="13">
        <f t="shared" si="22"/>
        <v>-0.25688812841964292</v>
      </c>
      <c r="O191" s="13">
        <f t="shared" si="22"/>
        <v>-1.4865776363372163E-2</v>
      </c>
      <c r="P191" s="13">
        <f t="shared" si="22"/>
        <v>0.21665817047671965</v>
      </c>
      <c r="Q191" s="13">
        <f t="shared" si="22"/>
        <v>0.43799767147562818</v>
      </c>
      <c r="R191" s="13">
        <f t="shared" si="22"/>
        <v>0.6564908342398752</v>
      </c>
      <c r="S191" s="13">
        <f t="shared" si="22"/>
        <v>0.86234549285261863</v>
      </c>
      <c r="T191" s="13">
        <f t="shared" si="22"/>
        <v>1.0552926116687402</v>
      </c>
      <c r="U191" s="13">
        <f t="shared" si="22"/>
        <v>1.2357759408498801</v>
      </c>
      <c r="V191" s="13">
        <f t="shared" si="22"/>
        <v>1.4026662378629915</v>
      </c>
    </row>
    <row r="192" spans="1:22" x14ac:dyDescent="0.3">
      <c r="A192" t="s">
        <v>168</v>
      </c>
      <c r="B192" t="s">
        <v>56</v>
      </c>
      <c r="C192" t="s">
        <v>221</v>
      </c>
      <c r="F192" s="17"/>
      <c r="H192" s="13">
        <f t="shared" ref="H192:V192" si="23">H28-H110</f>
        <v>0</v>
      </c>
      <c r="I192" s="13">
        <f t="shared" si="23"/>
        <v>-0.35651573431941164</v>
      </c>
      <c r="J192" s="13">
        <f t="shared" si="23"/>
        <v>-0.54396503634204318</v>
      </c>
      <c r="K192" s="13">
        <f t="shared" si="23"/>
        <v>-0.66371834691096998</v>
      </c>
      <c r="L192" s="13">
        <f t="shared" si="23"/>
        <v>-0.68629470982985152</v>
      </c>
      <c r="M192" s="13">
        <f t="shared" si="23"/>
        <v>-0.72402625502029805</v>
      </c>
      <c r="N192" s="13">
        <f t="shared" si="23"/>
        <v>-0.73738145770030217</v>
      </c>
      <c r="O192" s="13">
        <f t="shared" si="23"/>
        <v>-0.73069422131825768</v>
      </c>
      <c r="P192" s="13">
        <f t="shared" si="23"/>
        <v>-0.72430561985169462</v>
      </c>
      <c r="Q192" s="13">
        <f t="shared" si="23"/>
        <v>-0.71813336915308179</v>
      </c>
      <c r="R192" s="13">
        <f t="shared" si="23"/>
        <v>-0.71216466409613721</v>
      </c>
      <c r="S192" s="13">
        <f t="shared" si="23"/>
        <v>-0.70639528919201711</v>
      </c>
      <c r="T192" s="13">
        <f t="shared" si="23"/>
        <v>-0.70076164359095383</v>
      </c>
      <c r="U192" s="13">
        <f t="shared" si="23"/>
        <v>-0.69519296998942259</v>
      </c>
      <c r="V192" s="13">
        <f t="shared" si="23"/>
        <v>-0.68969364548092438</v>
      </c>
    </row>
    <row r="193" spans="1:22" x14ac:dyDescent="0.3">
      <c r="A193" t="s">
        <v>169</v>
      </c>
      <c r="B193" t="s">
        <v>56</v>
      </c>
      <c r="C193" t="s">
        <v>221</v>
      </c>
      <c r="F193" s="17"/>
      <c r="H193" s="13">
        <f t="shared" ref="H193:V193" si="24">H29-H111</f>
        <v>0</v>
      </c>
      <c r="I193" s="13">
        <f t="shared" si="24"/>
        <v>5.354260545683065E-2</v>
      </c>
      <c r="J193" s="13">
        <f t="shared" si="24"/>
        <v>-4.9393701541943447E-2</v>
      </c>
      <c r="K193" s="13">
        <f t="shared" si="24"/>
        <v>-0.11694378565416574</v>
      </c>
      <c r="L193" s="13">
        <f t="shared" si="24"/>
        <v>-0.13172386180018059</v>
      </c>
      <c r="M193" s="13">
        <f t="shared" si="24"/>
        <v>-0.19236057268735607</v>
      </c>
      <c r="N193" s="13">
        <f t="shared" si="24"/>
        <v>-0.26326138274931221</v>
      </c>
      <c r="O193" s="13">
        <f t="shared" si="24"/>
        <v>-0.3125045932529984</v>
      </c>
      <c r="P193" s="13">
        <f t="shared" si="24"/>
        <v>-0.36219978086189597</v>
      </c>
      <c r="Q193" s="13">
        <f t="shared" si="24"/>
        <v>-0.41222807734269518</v>
      </c>
      <c r="R193" s="13">
        <f t="shared" si="24"/>
        <v>-0.46280556300520725</v>
      </c>
      <c r="S193" s="13">
        <f t="shared" si="24"/>
        <v>-0.51385970244443113</v>
      </c>
      <c r="T193" s="13">
        <f t="shared" si="24"/>
        <v>-0.56529016072758065</v>
      </c>
      <c r="U193" s="13">
        <f t="shared" si="24"/>
        <v>-0.61698629065538446</v>
      </c>
      <c r="V193" s="13">
        <f t="shared" si="24"/>
        <v>-0.66892552994338539</v>
      </c>
    </row>
    <row r="194" spans="1:22" x14ac:dyDescent="0.3">
      <c r="A194" t="s">
        <v>136</v>
      </c>
      <c r="B194" t="s">
        <v>23</v>
      </c>
      <c r="C194" t="s">
        <v>221</v>
      </c>
      <c r="F194" s="17"/>
      <c r="H194" s="13">
        <f t="shared" ref="H194:V194" si="25">H30-H112</f>
        <v>0</v>
      </c>
      <c r="I194" s="13">
        <f t="shared" si="25"/>
        <v>0.42495679601346836</v>
      </c>
      <c r="J194" s="13">
        <f t="shared" si="25"/>
        <v>0.30291850455210323</v>
      </c>
      <c r="K194" s="13">
        <f t="shared" si="25"/>
        <v>8.8186318720801182E-2</v>
      </c>
      <c r="L194" s="13">
        <f t="shared" si="25"/>
        <v>-9.0454122160625872E-2</v>
      </c>
      <c r="M194" s="13">
        <f t="shared" si="25"/>
        <v>-0.53306234014437592</v>
      </c>
      <c r="N194" s="13">
        <f t="shared" si="25"/>
        <v>-1.0909113327315563</v>
      </c>
      <c r="O194" s="13">
        <f t="shared" si="25"/>
        <v>-1.3788119820321363</v>
      </c>
      <c r="P194" s="13">
        <f t="shared" si="25"/>
        <v>-1.6666697682712392</v>
      </c>
      <c r="Q194" s="13">
        <f t="shared" si="25"/>
        <v>-1.9560716900547295</v>
      </c>
      <c r="R194" s="13">
        <f t="shared" si="25"/>
        <v>-2.2467428828762319</v>
      </c>
      <c r="S194" s="13">
        <f t="shared" si="25"/>
        <v>-2.5388092430818592</v>
      </c>
      <c r="T194" s="13">
        <f t="shared" si="25"/>
        <v>-2.8321344686823959</v>
      </c>
      <c r="U194" s="13">
        <f t="shared" si="25"/>
        <v>-3.1262460538076855</v>
      </c>
      <c r="V194" s="13">
        <f t="shared" si="25"/>
        <v>-3.4210275695202643</v>
      </c>
    </row>
    <row r="195" spans="1:22" x14ac:dyDescent="0.3">
      <c r="A195" t="s">
        <v>155</v>
      </c>
      <c r="B195" t="s">
        <v>41</v>
      </c>
      <c r="C195" t="s">
        <v>222</v>
      </c>
      <c r="F195" s="17"/>
      <c r="H195" s="13">
        <f t="shared" ref="H195:V195" si="26">H31-H113</f>
        <v>0</v>
      </c>
      <c r="I195" s="13">
        <f t="shared" si="26"/>
        <v>0.6215260778715006</v>
      </c>
      <c r="J195" s="13">
        <f t="shared" si="26"/>
        <v>-3.5626774272774497E-2</v>
      </c>
      <c r="K195" s="13">
        <f t="shared" si="26"/>
        <v>-0.50768837007526102</v>
      </c>
      <c r="L195" s="13">
        <f t="shared" si="26"/>
        <v>-0.57842483137736167</v>
      </c>
      <c r="M195" s="13">
        <f t="shared" si="26"/>
        <v>-0.34485784887924709</v>
      </c>
      <c r="N195" s="13">
        <f t="shared" si="26"/>
        <v>-0.50289463818037916</v>
      </c>
      <c r="O195" s="13">
        <f t="shared" si="26"/>
        <v>-0.30495825802923804</v>
      </c>
      <c r="P195" s="13">
        <f t="shared" si="26"/>
        <v>-0.10244417508424419</v>
      </c>
      <c r="Q195" s="13">
        <f t="shared" si="26"/>
        <v>9.4932227928111956E-2</v>
      </c>
      <c r="R195" s="13">
        <f t="shared" si="26"/>
        <v>0.29386336825092485</v>
      </c>
      <c r="S195" s="13">
        <f t="shared" si="26"/>
        <v>0.47732902841277891</v>
      </c>
      <c r="T195" s="13">
        <f t="shared" si="26"/>
        <v>0.64285857254157719</v>
      </c>
      <c r="U195" s="13">
        <f t="shared" si="26"/>
        <v>0.79074229835455156</v>
      </c>
      <c r="V195" s="13">
        <f t="shared" si="26"/>
        <v>0.91682807560545854</v>
      </c>
    </row>
    <row r="196" spans="1:22" x14ac:dyDescent="0.3">
      <c r="A196" t="s">
        <v>170</v>
      </c>
      <c r="B196" t="s">
        <v>56</v>
      </c>
      <c r="C196" t="s">
        <v>221</v>
      </c>
      <c r="F196" s="17"/>
      <c r="H196" s="13">
        <f t="shared" ref="H196:V196" si="27">H32-H114</f>
        <v>0</v>
      </c>
      <c r="I196" s="13">
        <f t="shared" si="27"/>
        <v>0.52945870527637595</v>
      </c>
      <c r="J196" s="13">
        <f t="shared" si="27"/>
        <v>0.30835895021469995</v>
      </c>
      <c r="K196" s="13">
        <f t="shared" si="27"/>
        <v>0.15369915572172133</v>
      </c>
      <c r="L196" s="13">
        <f t="shared" si="27"/>
        <v>1.1605039450007126E-2</v>
      </c>
      <c r="M196" s="13">
        <f t="shared" si="27"/>
        <v>-0.2076090536283175</v>
      </c>
      <c r="N196" s="13">
        <f t="shared" si="27"/>
        <v>-0.98449714080646089</v>
      </c>
      <c r="O196" s="13">
        <f t="shared" si="27"/>
        <v>-1.4511562067195065</v>
      </c>
      <c r="P196" s="13">
        <f t="shared" si="27"/>
        <v>-1.9229613542919317</v>
      </c>
      <c r="Q196" s="13">
        <f t="shared" si="27"/>
        <v>-2.3997354210583204</v>
      </c>
      <c r="R196" s="13">
        <f t="shared" si="27"/>
        <v>-2.882313005247795</v>
      </c>
      <c r="S196" s="13">
        <f t="shared" si="27"/>
        <v>-3.3718708914933835</v>
      </c>
      <c r="T196" s="13">
        <f t="shared" si="27"/>
        <v>-3.8680724526857624</v>
      </c>
      <c r="U196" s="13">
        <f t="shared" si="27"/>
        <v>-4.3704168959912906</v>
      </c>
      <c r="V196" s="13">
        <f t="shared" si="27"/>
        <v>-4.879126208007321</v>
      </c>
    </row>
    <row r="197" spans="1:22" x14ac:dyDescent="0.3">
      <c r="A197" t="s">
        <v>114</v>
      </c>
      <c r="B197" t="s">
        <v>3</v>
      </c>
      <c r="C197" t="s">
        <v>221</v>
      </c>
      <c r="F197" s="17"/>
      <c r="H197" s="13">
        <f t="shared" ref="H197:V197" si="28">H33-H115</f>
        <v>0</v>
      </c>
      <c r="I197" s="13">
        <f t="shared" si="28"/>
        <v>2.6538299235690843E-2</v>
      </c>
      <c r="J197" s="13">
        <f t="shared" si="28"/>
        <v>-0.25714678614234643</v>
      </c>
      <c r="K197" s="13">
        <f t="shared" si="28"/>
        <v>-0.42167922218493104</v>
      </c>
      <c r="L197" s="13">
        <f t="shared" si="28"/>
        <v>-0.62153121059310656</v>
      </c>
      <c r="M197" s="13">
        <f t="shared" si="28"/>
        <v>-0.84808233681744838</v>
      </c>
      <c r="N197" s="13">
        <f t="shared" si="28"/>
        <v>-1.1323588850206381</v>
      </c>
      <c r="O197" s="13">
        <f t="shared" si="28"/>
        <v>-1.2347972880499647</v>
      </c>
      <c r="P197" s="13">
        <f t="shared" si="28"/>
        <v>-1.3377425994344758</v>
      </c>
      <c r="Q197" s="13">
        <f t="shared" si="28"/>
        <v>-1.4406790939899068</v>
      </c>
      <c r="R197" s="13">
        <f t="shared" si="28"/>
        <v>-1.5425997988737077</v>
      </c>
      <c r="S197" s="13">
        <f t="shared" si="28"/>
        <v>-1.6442077047933026</v>
      </c>
      <c r="T197" s="13">
        <f t="shared" si="28"/>
        <v>-1.745580890464236</v>
      </c>
      <c r="U197" s="13">
        <f t="shared" si="28"/>
        <v>-1.8468218849105202</v>
      </c>
      <c r="V197" s="13">
        <f t="shared" si="28"/>
        <v>-1.948126393819166</v>
      </c>
    </row>
    <row r="198" spans="1:22" x14ac:dyDescent="0.3">
      <c r="A198" t="s">
        <v>171</v>
      </c>
      <c r="B198" t="s">
        <v>56</v>
      </c>
      <c r="C198" t="s">
        <v>221</v>
      </c>
      <c r="F198" s="17"/>
      <c r="H198" s="13">
        <f t="shared" ref="H198:V198" si="29">H34-H116</f>
        <v>0</v>
      </c>
      <c r="I198" s="13">
        <f t="shared" si="29"/>
        <v>-0.3875640239890723</v>
      </c>
      <c r="J198" s="13">
        <f t="shared" si="29"/>
        <v>-0.66052269599897739</v>
      </c>
      <c r="K198" s="13">
        <f t="shared" si="29"/>
        <v>-0.82428761208349188</v>
      </c>
      <c r="L198" s="13">
        <f t="shared" si="29"/>
        <v>-0.85148863095327121</v>
      </c>
      <c r="M198" s="13">
        <f t="shared" si="29"/>
        <v>-0.90638978576986196</v>
      </c>
      <c r="N198" s="13">
        <f t="shared" si="29"/>
        <v>-0.94698984196502201</v>
      </c>
      <c r="O198" s="13">
        <f t="shared" si="29"/>
        <v>-0.96482628176407692</v>
      </c>
      <c r="P198" s="13">
        <f t="shared" si="29"/>
        <v>-0.98329593971232887</v>
      </c>
      <c r="Q198" s="13">
        <f t="shared" si="29"/>
        <v>-1.0020982816438941</v>
      </c>
      <c r="R198" s="13">
        <f t="shared" si="29"/>
        <v>-1.0211668880363711</v>
      </c>
      <c r="S198" s="13">
        <f t="shared" si="29"/>
        <v>-1.0403768962153626</v>
      </c>
      <c r="T198" s="13">
        <f t="shared" si="29"/>
        <v>-1.0595912509838077</v>
      </c>
      <c r="U198" s="13">
        <f t="shared" si="29"/>
        <v>-1.0786604260683057</v>
      </c>
      <c r="V198" s="13">
        <f t="shared" si="29"/>
        <v>-1.0975292585992737</v>
      </c>
    </row>
    <row r="199" spans="1:22" x14ac:dyDescent="0.3">
      <c r="A199" t="s">
        <v>172</v>
      </c>
      <c r="B199" t="s">
        <v>56</v>
      </c>
      <c r="C199" t="s">
        <v>221</v>
      </c>
      <c r="F199" s="17"/>
      <c r="H199" s="13">
        <f t="shared" ref="H199:V199" si="30">H35-H117</f>
        <v>0</v>
      </c>
      <c r="I199" s="13">
        <f t="shared" si="30"/>
        <v>-0.80478399202195061</v>
      </c>
      <c r="J199" s="13">
        <f t="shared" si="30"/>
        <v>-1.4455617078641738</v>
      </c>
      <c r="K199" s="13">
        <f t="shared" si="30"/>
        <v>-1.7305602905208783</v>
      </c>
      <c r="L199" s="13">
        <f t="shared" si="30"/>
        <v>-1.6705401828848514</v>
      </c>
      <c r="M199" s="13">
        <f t="shared" si="30"/>
        <v>-1.6563054413527014</v>
      </c>
      <c r="N199" s="13">
        <f t="shared" si="30"/>
        <v>-1.6195540213978832</v>
      </c>
      <c r="O199" s="13">
        <f t="shared" si="30"/>
        <v>-1.59592020185058</v>
      </c>
      <c r="P199" s="13">
        <f t="shared" si="30"/>
        <v>-1.5725535658603114</v>
      </c>
      <c r="Q199" s="13">
        <f t="shared" si="30"/>
        <v>-1.5492202687357171</v>
      </c>
      <c r="R199" s="13">
        <f t="shared" si="30"/>
        <v>-1.5260783145473804</v>
      </c>
      <c r="S199" s="13">
        <f t="shared" si="30"/>
        <v>-1.5030686131630457</v>
      </c>
      <c r="T199" s="13">
        <f t="shared" si="30"/>
        <v>-1.4801504464954054</v>
      </c>
      <c r="U199" s="13">
        <f t="shared" si="30"/>
        <v>-1.4572630625048653</v>
      </c>
      <c r="V199" s="13">
        <f t="shared" si="30"/>
        <v>-1.4343254831206853</v>
      </c>
    </row>
    <row r="200" spans="1:22" x14ac:dyDescent="0.3">
      <c r="A200" t="s">
        <v>173</v>
      </c>
      <c r="B200" t="s">
        <v>56</v>
      </c>
      <c r="C200" t="s">
        <v>222</v>
      </c>
      <c r="F200" s="17"/>
      <c r="H200" s="13">
        <f t="shared" ref="H200:V200" si="31">H36-H118</f>
        <v>0</v>
      </c>
      <c r="I200" s="13">
        <f t="shared" si="31"/>
        <v>-0.38987257561234578</v>
      </c>
      <c r="J200" s="13">
        <f t="shared" si="31"/>
        <v>-0.79984001994766984</v>
      </c>
      <c r="K200" s="13">
        <f t="shared" si="31"/>
        <v>-1.0896617664487103</v>
      </c>
      <c r="L200" s="13">
        <f t="shared" si="31"/>
        <v>-1.3275212284054554</v>
      </c>
      <c r="M200" s="13">
        <f t="shared" si="31"/>
        <v>-1.5124818371993918</v>
      </c>
      <c r="N200" s="13">
        <f t="shared" si="31"/>
        <v>-1.7196742562284033</v>
      </c>
      <c r="O200" s="13">
        <f t="shared" si="31"/>
        <v>-1.5921682545381053</v>
      </c>
      <c r="P200" s="13">
        <f t="shared" si="31"/>
        <v>-1.4802112555207216</v>
      </c>
      <c r="Q200" s="13">
        <f t="shared" si="31"/>
        <v>-1.3769493042619469</v>
      </c>
      <c r="R200" s="13">
        <f t="shared" si="31"/>
        <v>-1.2740058070178151</v>
      </c>
      <c r="S200" s="13">
        <f t="shared" si="31"/>
        <v>-1.1748927303613339</v>
      </c>
      <c r="T200" s="13">
        <f t="shared" si="31"/>
        <v>-1.0753242371539784</v>
      </c>
      <c r="U200" s="13">
        <f t="shared" si="31"/>
        <v>-0.97121261534259418</v>
      </c>
      <c r="V200" s="13">
        <f t="shared" si="31"/>
        <v>-0.86389748343096251</v>
      </c>
    </row>
    <row r="201" spans="1:22" x14ac:dyDescent="0.3">
      <c r="A201" t="s">
        <v>174</v>
      </c>
      <c r="B201" t="s">
        <v>56</v>
      </c>
      <c r="C201" t="s">
        <v>221</v>
      </c>
      <c r="F201" s="17"/>
      <c r="H201" s="13">
        <f t="shared" ref="H201:V201" si="32">H37-H119</f>
        <v>0</v>
      </c>
      <c r="I201" s="13">
        <f t="shared" si="32"/>
        <v>0.38029122339541965</v>
      </c>
      <c r="J201" s="13">
        <f t="shared" si="32"/>
        <v>-0.13786357315359066</v>
      </c>
      <c r="K201" s="13">
        <f t="shared" si="32"/>
        <v>-0.46744985728866872</v>
      </c>
      <c r="L201" s="13">
        <f t="shared" si="32"/>
        <v>-0.50007418370968937</v>
      </c>
      <c r="M201" s="13">
        <f t="shared" si="32"/>
        <v>-0.51731865848314662</v>
      </c>
      <c r="N201" s="13">
        <f t="shared" si="32"/>
        <v>-0.58614635962710526</v>
      </c>
      <c r="O201" s="13">
        <f t="shared" si="32"/>
        <v>-0.6064979508664976</v>
      </c>
      <c r="P201" s="13">
        <f t="shared" si="32"/>
        <v>-0.62705314526090383</v>
      </c>
      <c r="Q201" s="13">
        <f t="shared" si="32"/>
        <v>-0.64756595669580364</v>
      </c>
      <c r="R201" s="13">
        <f t="shared" si="32"/>
        <v>-0.66799245966431675</v>
      </c>
      <c r="S201" s="13">
        <f t="shared" si="32"/>
        <v>-0.68841958595316477</v>
      </c>
      <c r="T201" s="13">
        <f t="shared" si="32"/>
        <v>-0.70890960765024769</v>
      </c>
      <c r="U201" s="13">
        <f t="shared" si="32"/>
        <v>-0.72979374893757321</v>
      </c>
      <c r="V201" s="13">
        <f t="shared" si="32"/>
        <v>-0.75118996345144717</v>
      </c>
    </row>
    <row r="202" spans="1:22" x14ac:dyDescent="0.3">
      <c r="A202" t="s">
        <v>137</v>
      </c>
      <c r="B202" t="s">
        <v>23</v>
      </c>
      <c r="C202" t="s">
        <v>224</v>
      </c>
      <c r="F202" s="17"/>
      <c r="H202" s="13">
        <f t="shared" ref="H202:V202" si="33">H38-H120</f>
        <v>0</v>
      </c>
      <c r="I202" s="13">
        <f t="shared" si="33"/>
        <v>-5.6448328125021874</v>
      </c>
      <c r="J202" s="13">
        <f t="shared" si="33"/>
        <v>-5.8562097674356401</v>
      </c>
      <c r="K202" s="13">
        <f t="shared" si="33"/>
        <v>-5.9908998600690282</v>
      </c>
      <c r="L202" s="13">
        <f t="shared" si="33"/>
        <v>-6.2316233414101596</v>
      </c>
      <c r="M202" s="13">
        <f t="shared" si="33"/>
        <v>-6.3171062212119189</v>
      </c>
      <c r="N202" s="13">
        <f t="shared" si="33"/>
        <v>-6.8028871301365612</v>
      </c>
      <c r="O202" s="13">
        <f t="shared" si="33"/>
        <v>-7.1089079322352013</v>
      </c>
      <c r="P202" s="13">
        <f t="shared" si="33"/>
        <v>-7.4446555029228811</v>
      </c>
      <c r="Q202" s="13">
        <f t="shared" si="33"/>
        <v>-7.81155507637272</v>
      </c>
      <c r="R202" s="13">
        <f t="shared" si="33"/>
        <v>-8.1925797546188406</v>
      </c>
      <c r="S202" s="13">
        <f t="shared" si="33"/>
        <v>-8.5994055479493241</v>
      </c>
      <c r="T202" s="13">
        <f t="shared" si="33"/>
        <v>-9.0340757816320689</v>
      </c>
      <c r="U202" s="13">
        <f t="shared" si="33"/>
        <v>-9.4847003335764235</v>
      </c>
      <c r="V202" s="13">
        <f t="shared" si="33"/>
        <v>-9.9441344661970916</v>
      </c>
    </row>
    <row r="203" spans="1:22" x14ac:dyDescent="0.3">
      <c r="A203" t="s">
        <v>115</v>
      </c>
      <c r="B203" t="s">
        <v>3</v>
      </c>
      <c r="C203" t="s">
        <v>221</v>
      </c>
      <c r="F203" s="17"/>
      <c r="H203" s="13">
        <f t="shared" ref="H203:V203" si="34">H39-H121</f>
        <v>0</v>
      </c>
      <c r="I203" s="13">
        <f t="shared" si="34"/>
        <v>1.3074239441627E-2</v>
      </c>
      <c r="J203" s="13">
        <f t="shared" si="34"/>
        <v>-0.35568266285677064</v>
      </c>
      <c r="K203" s="13">
        <f t="shared" si="34"/>
        <v>-0.58551134564242879</v>
      </c>
      <c r="L203" s="13">
        <f t="shared" si="34"/>
        <v>-0.57118822364791733</v>
      </c>
      <c r="M203" s="13">
        <f t="shared" si="34"/>
        <v>-0.55707469241197316</v>
      </c>
      <c r="N203" s="13">
        <f t="shared" si="34"/>
        <v>-0.57177033329740334</v>
      </c>
      <c r="O203" s="13">
        <f t="shared" si="34"/>
        <v>-0.57878271478536947</v>
      </c>
      <c r="P203" s="13">
        <f t="shared" si="34"/>
        <v>-0.58630049601210388</v>
      </c>
      <c r="Q203" s="13">
        <f t="shared" si="34"/>
        <v>-0.59420185086641331</v>
      </c>
      <c r="R203" s="13">
        <f t="shared" si="34"/>
        <v>-0.60245767269408335</v>
      </c>
      <c r="S203" s="13">
        <f t="shared" si="34"/>
        <v>-0.61117888435965684</v>
      </c>
      <c r="T203" s="13">
        <f t="shared" si="34"/>
        <v>-0.62032006313788646</v>
      </c>
      <c r="U203" s="13">
        <f t="shared" si="34"/>
        <v>-0.62974348584573159</v>
      </c>
      <c r="V203" s="13">
        <f t="shared" si="34"/>
        <v>-0.63943075682804595</v>
      </c>
    </row>
    <row r="204" spans="1:22" x14ac:dyDescent="0.3">
      <c r="A204" t="s">
        <v>156</v>
      </c>
      <c r="B204" t="s">
        <v>41</v>
      </c>
      <c r="C204" t="s">
        <v>222</v>
      </c>
      <c r="F204" s="17"/>
      <c r="H204" s="13">
        <f t="shared" ref="H204:V204" si="35">H40-H122</f>
        <v>0</v>
      </c>
      <c r="I204" s="13">
        <f t="shared" si="35"/>
        <v>0.22331043905253978</v>
      </c>
      <c r="J204" s="13">
        <f t="shared" si="35"/>
        <v>7.1632396905378926E-2</v>
      </c>
      <c r="K204" s="13">
        <f t="shared" si="35"/>
        <v>3.4540588890923374E-2</v>
      </c>
      <c r="L204" s="13">
        <f t="shared" si="35"/>
        <v>-0.18270360883188985</v>
      </c>
      <c r="M204" s="13">
        <f t="shared" si="35"/>
        <v>-0.145920418737159</v>
      </c>
      <c r="N204" s="13">
        <f t="shared" si="35"/>
        <v>-0.2510735850975756</v>
      </c>
      <c r="O204" s="13">
        <f t="shared" si="35"/>
        <v>-4.0312073516609814E-2</v>
      </c>
      <c r="P204" s="13">
        <f t="shared" si="35"/>
        <v>0.16320208797040792</v>
      </c>
      <c r="Q204" s="13">
        <f t="shared" si="35"/>
        <v>0.35944214790583118</v>
      </c>
      <c r="R204" s="13">
        <f t="shared" si="35"/>
        <v>0.55326593547439273</v>
      </c>
      <c r="S204" s="13">
        <f t="shared" si="35"/>
        <v>0.73506777187122907</v>
      </c>
      <c r="T204" s="13">
        <f t="shared" si="35"/>
        <v>0.90513665713308811</v>
      </c>
      <c r="U204" s="13">
        <f t="shared" si="35"/>
        <v>1.0637298672099718</v>
      </c>
      <c r="V204" s="13">
        <f t="shared" si="35"/>
        <v>1.2087319441633184</v>
      </c>
    </row>
    <row r="205" spans="1:22" x14ac:dyDescent="0.3">
      <c r="A205" t="s">
        <v>116</v>
      </c>
      <c r="B205" t="s">
        <v>3</v>
      </c>
      <c r="C205" t="s">
        <v>222</v>
      </c>
      <c r="F205" s="17"/>
      <c r="H205" s="13">
        <f t="shared" ref="H205:V205" si="36">H41-H123</f>
        <v>0</v>
      </c>
      <c r="I205" s="13">
        <f t="shared" si="36"/>
        <v>-0.91548270915711072</v>
      </c>
      <c r="J205" s="13">
        <f t="shared" si="36"/>
        <v>-0.98060243605888431</v>
      </c>
      <c r="K205" s="13">
        <f t="shared" si="36"/>
        <v>-1.0389792904145629</v>
      </c>
      <c r="L205" s="13">
        <f t="shared" si="36"/>
        <v>-1.070760841756627</v>
      </c>
      <c r="M205" s="13">
        <f t="shared" si="36"/>
        <v>-1.0458428651844116</v>
      </c>
      <c r="N205" s="13">
        <f t="shared" si="36"/>
        <v>-1.0801452125693487</v>
      </c>
      <c r="O205" s="13">
        <f t="shared" si="36"/>
        <v>-0.85537682853140495</v>
      </c>
      <c r="P205" s="13">
        <f t="shared" si="36"/>
        <v>-0.64027288238822777</v>
      </c>
      <c r="Q205" s="13">
        <f t="shared" si="36"/>
        <v>-0.43350208838032955</v>
      </c>
      <c r="R205" s="13">
        <f t="shared" si="36"/>
        <v>-0.22815298671024919</v>
      </c>
      <c r="S205" s="13">
        <f t="shared" si="36"/>
        <v>-3.3636586893912579E-2</v>
      </c>
      <c r="T205" s="13">
        <f t="shared" si="36"/>
        <v>0.14923900227032405</v>
      </c>
      <c r="U205" s="13">
        <f t="shared" si="36"/>
        <v>0.32036733875996504</v>
      </c>
      <c r="V205" s="13">
        <f t="shared" si="36"/>
        <v>0.47715362407879169</v>
      </c>
    </row>
    <row r="206" spans="1:22" x14ac:dyDescent="0.3">
      <c r="A206" t="s">
        <v>157</v>
      </c>
      <c r="B206" t="s">
        <v>41</v>
      </c>
      <c r="C206" t="s">
        <v>221</v>
      </c>
      <c r="F206" s="17"/>
      <c r="H206" s="13">
        <f t="shared" ref="H206:V206" si="37">H42-H124</f>
        <v>0</v>
      </c>
      <c r="I206" s="13">
        <f t="shared" si="37"/>
        <v>-0.8649208534774333</v>
      </c>
      <c r="J206" s="13">
        <f t="shared" si="37"/>
        <v>-1.1385472546274622</v>
      </c>
      <c r="K206" s="13">
        <f t="shared" si="37"/>
        <v>-1.2540949023154981</v>
      </c>
      <c r="L206" s="13">
        <f t="shared" si="37"/>
        <v>-1.3544272629266567</v>
      </c>
      <c r="M206" s="13">
        <f t="shared" si="37"/>
        <v>-1.5423931469587417</v>
      </c>
      <c r="N206" s="13">
        <f t="shared" si="37"/>
        <v>-1.7357400329515249</v>
      </c>
      <c r="O206" s="13">
        <f t="shared" si="37"/>
        <v>-1.7903876976820863</v>
      </c>
      <c r="P206" s="13">
        <f t="shared" si="37"/>
        <v>-1.8516783967969213</v>
      </c>
      <c r="Q206" s="13">
        <f t="shared" si="37"/>
        <v>-1.9199963603868335</v>
      </c>
      <c r="R206" s="13">
        <f t="shared" si="37"/>
        <v>-1.9942206184297282</v>
      </c>
      <c r="S206" s="13">
        <f t="shared" si="37"/>
        <v>-2.0733587796001816</v>
      </c>
      <c r="T206" s="13">
        <f t="shared" si="37"/>
        <v>-2.1562341938489693</v>
      </c>
      <c r="U206" s="13">
        <f t="shared" si="37"/>
        <v>-2.2416383429995888</v>
      </c>
      <c r="V206" s="13">
        <f t="shared" si="37"/>
        <v>-2.3287152844520245</v>
      </c>
    </row>
    <row r="207" spans="1:22" x14ac:dyDescent="0.3">
      <c r="A207" t="s">
        <v>138</v>
      </c>
      <c r="B207" t="s">
        <v>23</v>
      </c>
      <c r="C207" t="s">
        <v>221</v>
      </c>
      <c r="F207" s="17"/>
      <c r="H207" s="13">
        <f t="shared" ref="H207:V207" si="38">H43-H125</f>
        <v>0</v>
      </c>
      <c r="I207" s="13">
        <f t="shared" si="38"/>
        <v>-0.15120155695553028</v>
      </c>
      <c r="J207" s="13">
        <f t="shared" si="38"/>
        <v>-0.58519439539945939</v>
      </c>
      <c r="K207" s="13">
        <f t="shared" si="38"/>
        <v>-0.86505978473200251</v>
      </c>
      <c r="L207" s="13">
        <f t="shared" si="38"/>
        <v>-0.86668295598082423</v>
      </c>
      <c r="M207" s="13">
        <f t="shared" si="38"/>
        <v>-0.85466459329391764</v>
      </c>
      <c r="N207" s="13">
        <f t="shared" si="38"/>
        <v>-0.85278723160927528</v>
      </c>
      <c r="O207" s="13">
        <f t="shared" si="38"/>
        <v>-0.84146289909400784</v>
      </c>
      <c r="P207" s="13">
        <f t="shared" si="38"/>
        <v>-0.83060279451756336</v>
      </c>
      <c r="Q207" s="13">
        <f t="shared" si="38"/>
        <v>-0.82021040918583044</v>
      </c>
      <c r="R207" s="13">
        <f t="shared" si="38"/>
        <v>-0.81025127415018394</v>
      </c>
      <c r="S207" s="13">
        <f t="shared" si="38"/>
        <v>-0.80093375051927529</v>
      </c>
      <c r="T207" s="13">
        <f t="shared" si="38"/>
        <v>-0.79226499916730453</v>
      </c>
      <c r="U207" s="13">
        <f t="shared" si="38"/>
        <v>-0.78386515627174891</v>
      </c>
      <c r="V207" s="13">
        <f t="shared" si="38"/>
        <v>-0.77569019739152445</v>
      </c>
    </row>
    <row r="208" spans="1:22" x14ac:dyDescent="0.3">
      <c r="A208" t="s">
        <v>139</v>
      </c>
      <c r="B208" t="s">
        <v>23</v>
      </c>
      <c r="C208" t="s">
        <v>221</v>
      </c>
      <c r="F208" s="17"/>
      <c r="H208" s="13">
        <f t="shared" ref="H208:V208" si="39">H44-H126</f>
        <v>0</v>
      </c>
      <c r="I208" s="13">
        <f t="shared" si="39"/>
        <v>9.8562267223125666E-2</v>
      </c>
      <c r="J208" s="13">
        <f t="shared" si="39"/>
        <v>8.0578095156894847E-2</v>
      </c>
      <c r="K208" s="13">
        <f t="shared" si="39"/>
        <v>-4.7434413218312876E-2</v>
      </c>
      <c r="L208" s="13">
        <f t="shared" si="39"/>
        <v>-0.10040884515442006</v>
      </c>
      <c r="M208" s="13">
        <f t="shared" si="39"/>
        <v>-0.2741383374950388</v>
      </c>
      <c r="N208" s="13">
        <f t="shared" si="39"/>
        <v>-0.41507123678459301</v>
      </c>
      <c r="O208" s="13">
        <f t="shared" si="39"/>
        <v>-0.50060807803667551</v>
      </c>
      <c r="P208" s="13">
        <f t="shared" si="39"/>
        <v>-0.58735326666070264</v>
      </c>
      <c r="Q208" s="13">
        <f t="shared" si="39"/>
        <v>-0.67480592064597467</v>
      </c>
      <c r="R208" s="13">
        <f t="shared" si="39"/>
        <v>-0.76320453808807809</v>
      </c>
      <c r="S208" s="13">
        <f t="shared" si="39"/>
        <v>-0.8524014126724424</v>
      </c>
      <c r="T208" s="13">
        <f t="shared" si="39"/>
        <v>-0.94212131253282294</v>
      </c>
      <c r="U208" s="13">
        <f t="shared" si="39"/>
        <v>-1.0323550811211097</v>
      </c>
      <c r="V208" s="13">
        <f t="shared" si="39"/>
        <v>-1.1232653307099421</v>
      </c>
    </row>
    <row r="209" spans="1:22" x14ac:dyDescent="0.3">
      <c r="A209" t="s">
        <v>117</v>
      </c>
      <c r="B209" t="s">
        <v>3</v>
      </c>
      <c r="C209" t="s">
        <v>222</v>
      </c>
      <c r="F209" s="17"/>
      <c r="H209" s="13">
        <f t="shared" ref="H209:V209" si="40">H45-H127</f>
        <v>0</v>
      </c>
      <c r="I209" s="13">
        <f t="shared" si="40"/>
        <v>-0.19921816345273591</v>
      </c>
      <c r="J209" s="13">
        <f t="shared" si="40"/>
        <v>-3.8372933839827539E-3</v>
      </c>
      <c r="K209" s="13">
        <f t="shared" si="40"/>
        <v>0.14041929882840876</v>
      </c>
      <c r="L209" s="13">
        <f t="shared" si="40"/>
        <v>0.18920292529372595</v>
      </c>
      <c r="M209" s="13">
        <f t="shared" si="40"/>
        <v>0.37881201761966388</v>
      </c>
      <c r="N209" s="13">
        <f t="shared" si="40"/>
        <v>0.37321918662252074</v>
      </c>
      <c r="O209" s="13">
        <f t="shared" si="40"/>
        <v>0.48803556167632323</v>
      </c>
      <c r="P209" s="13">
        <f t="shared" si="40"/>
        <v>0.6068099039995225</v>
      </c>
      <c r="Q209" s="13">
        <f t="shared" si="40"/>
        <v>0.72533990388609304</v>
      </c>
      <c r="R209" s="13">
        <f t="shared" si="40"/>
        <v>0.84676264575484161</v>
      </c>
      <c r="S209" s="13">
        <f t="shared" si="40"/>
        <v>0.96537011945855689</v>
      </c>
      <c r="T209" s="13">
        <f t="shared" si="40"/>
        <v>1.079909220674498</v>
      </c>
      <c r="U209" s="13">
        <f t="shared" si="40"/>
        <v>1.1899645661356892</v>
      </c>
      <c r="V209" s="13">
        <f t="shared" si="40"/>
        <v>1.2942642226602015</v>
      </c>
    </row>
    <row r="210" spans="1:22" x14ac:dyDescent="0.3">
      <c r="A210" t="s">
        <v>118</v>
      </c>
      <c r="B210" t="s">
        <v>3</v>
      </c>
      <c r="C210" t="s">
        <v>221</v>
      </c>
      <c r="F210" s="17"/>
      <c r="H210" s="13">
        <f t="shared" ref="H210:V210" si="41">H46-H128</f>
        <v>0</v>
      </c>
      <c r="I210" s="13">
        <f t="shared" si="41"/>
        <v>-6.5928983271691166E-2</v>
      </c>
      <c r="J210" s="13">
        <f t="shared" si="41"/>
        <v>-0.66970245947122287</v>
      </c>
      <c r="K210" s="13">
        <f t="shared" si="41"/>
        <v>-1.091632995444652</v>
      </c>
      <c r="L210" s="13">
        <f t="shared" si="41"/>
        <v>-1.1093921413861436</v>
      </c>
      <c r="M210" s="13">
        <f t="shared" si="41"/>
        <v>-1.1205886265536014</v>
      </c>
      <c r="N210" s="13">
        <f t="shared" si="41"/>
        <v>-1.1529176724043759</v>
      </c>
      <c r="O210" s="13">
        <f t="shared" si="41"/>
        <v>-1.1739976310970193</v>
      </c>
      <c r="P210" s="13">
        <f t="shared" si="41"/>
        <v>-1.1952435597479887</v>
      </c>
      <c r="Q210" s="13">
        <f t="shared" si="41"/>
        <v>-1.216582826179833</v>
      </c>
      <c r="R210" s="13">
        <f t="shared" si="41"/>
        <v>-1.2378726024088913</v>
      </c>
      <c r="S210" s="13">
        <f t="shared" si="41"/>
        <v>-1.2595827646480393</v>
      </c>
      <c r="T210" s="13">
        <f t="shared" si="41"/>
        <v>-1.2818627260645699</v>
      </c>
      <c r="U210" s="13">
        <f t="shared" si="41"/>
        <v>-1.3044144448200308</v>
      </c>
      <c r="V210" s="13">
        <f t="shared" si="41"/>
        <v>-1.3272514454123943</v>
      </c>
    </row>
    <row r="211" spans="1:22" x14ac:dyDescent="0.3">
      <c r="A211" t="s">
        <v>175</v>
      </c>
      <c r="B211" t="s">
        <v>56</v>
      </c>
      <c r="C211" t="s">
        <v>222</v>
      </c>
      <c r="F211" s="17"/>
      <c r="H211" s="13">
        <f t="shared" ref="H211:V211" si="42">H47-H129</f>
        <v>0</v>
      </c>
      <c r="I211" s="13">
        <f t="shared" si="42"/>
        <v>-1.9289410759060495</v>
      </c>
      <c r="J211" s="13">
        <f t="shared" si="42"/>
        <v>-2.8647241762453142</v>
      </c>
      <c r="K211" s="13">
        <f t="shared" si="42"/>
        <v>-3.3035353323819105</v>
      </c>
      <c r="L211" s="13">
        <f t="shared" si="42"/>
        <v>-3.957023923458669</v>
      </c>
      <c r="M211" s="13">
        <f t="shared" si="42"/>
        <v>-4.4518085543811274</v>
      </c>
      <c r="N211" s="13">
        <f t="shared" si="42"/>
        <v>-5.1976169255294877</v>
      </c>
      <c r="O211" s="13">
        <f t="shared" si="42"/>
        <v>-5.5976585361708757</v>
      </c>
      <c r="P211" s="13">
        <f t="shared" si="42"/>
        <v>-6.0144539581534211</v>
      </c>
      <c r="Q211" s="13">
        <f t="shared" si="42"/>
        <v>-6.40907769211179</v>
      </c>
      <c r="R211" s="13">
        <f t="shared" si="42"/>
        <v>-6.7578824051724435</v>
      </c>
      <c r="S211" s="13">
        <f t="shared" si="42"/>
        <v>-7.0658596089911718</v>
      </c>
      <c r="T211" s="13">
        <f t="shared" si="42"/>
        <v>-7.3295104311620527</v>
      </c>
      <c r="U211" s="13">
        <f t="shared" si="42"/>
        <v>-7.5489823889325933</v>
      </c>
      <c r="V211" s="13">
        <f t="shared" si="42"/>
        <v>-7.7382383144355238</v>
      </c>
    </row>
    <row r="212" spans="1:22" x14ac:dyDescent="0.3">
      <c r="A212" t="s">
        <v>119</v>
      </c>
      <c r="B212" t="s">
        <v>3</v>
      </c>
      <c r="C212" t="s">
        <v>222</v>
      </c>
      <c r="F212" s="17"/>
      <c r="H212" s="13">
        <f t="shared" ref="H212:V212" si="43">H48-H130</f>
        <v>0</v>
      </c>
      <c r="I212" s="13">
        <f t="shared" si="43"/>
        <v>0.14195744125195908</v>
      </c>
      <c r="J212" s="13">
        <f t="shared" si="43"/>
        <v>-2.8826623442157029E-2</v>
      </c>
      <c r="K212" s="13">
        <f t="shared" si="43"/>
        <v>-1.792274113117287E-2</v>
      </c>
      <c r="L212" s="13">
        <f t="shared" si="43"/>
        <v>-6.8611606516011392E-2</v>
      </c>
      <c r="M212" s="13">
        <f t="shared" si="43"/>
        <v>8.3355911388423465E-2</v>
      </c>
      <c r="N212" s="13">
        <f t="shared" si="43"/>
        <v>1.4459622530885952E-2</v>
      </c>
      <c r="O212" s="13">
        <f t="shared" si="43"/>
        <v>0.1895831283704279</v>
      </c>
      <c r="P212" s="13">
        <f t="shared" si="43"/>
        <v>0.35396417254232482</v>
      </c>
      <c r="Q212" s="13">
        <f t="shared" si="43"/>
        <v>0.50997330284499043</v>
      </c>
      <c r="R212" s="13">
        <f t="shared" si="43"/>
        <v>0.66330485011166118</v>
      </c>
      <c r="S212" s="13">
        <f t="shared" si="43"/>
        <v>0.80642297787513506</v>
      </c>
      <c r="T212" s="13">
        <f t="shared" si="43"/>
        <v>0.93952993736723478</v>
      </c>
      <c r="U212" s="13">
        <f t="shared" si="43"/>
        <v>1.0624778463853524</v>
      </c>
      <c r="V212" s="13">
        <f t="shared" si="43"/>
        <v>1.174182525129245</v>
      </c>
    </row>
    <row r="213" spans="1:22" x14ac:dyDescent="0.3">
      <c r="A213" t="s">
        <v>176</v>
      </c>
      <c r="B213" t="s">
        <v>56</v>
      </c>
      <c r="C213" t="s">
        <v>222</v>
      </c>
      <c r="F213" s="17"/>
      <c r="H213" s="13">
        <f t="shared" ref="H213:V213" si="44">H49-H131</f>
        <v>0</v>
      </c>
      <c r="I213" s="13">
        <f t="shared" si="44"/>
        <v>-2.7073447388772038</v>
      </c>
      <c r="J213" s="13">
        <f t="shared" si="44"/>
        <v>-4.9941444529632228</v>
      </c>
      <c r="K213" s="13">
        <f t="shared" si="44"/>
        <v>-6.9406657453103904</v>
      </c>
      <c r="L213" s="13">
        <f t="shared" si="44"/>
        <v>-8.6787768638843055</v>
      </c>
      <c r="M213" s="13">
        <f t="shared" si="44"/>
        <v>-10.118323472125603</v>
      </c>
      <c r="N213" s="13">
        <f t="shared" si="44"/>
        <v>-10.501491932868085</v>
      </c>
      <c r="O213" s="13">
        <f t="shared" si="44"/>
        <v>-11.281921462298399</v>
      </c>
      <c r="P213" s="13">
        <f t="shared" si="44"/>
        <v>-12.117168080696096</v>
      </c>
      <c r="Q213" s="13">
        <f t="shared" si="44"/>
        <v>-12.878519345023921</v>
      </c>
      <c r="R213" s="13">
        <f t="shared" si="44"/>
        <v>-13.506925601502214</v>
      </c>
      <c r="S213" s="13">
        <f t="shared" si="44"/>
        <v>-14.09852065187637</v>
      </c>
      <c r="T213" s="13">
        <f t="shared" si="44"/>
        <v>-14.629852379422331</v>
      </c>
      <c r="U213" s="13">
        <f t="shared" si="44"/>
        <v>-15.123482723237448</v>
      </c>
      <c r="V213" s="13">
        <f t="shared" si="44"/>
        <v>-15.599171487299525</v>
      </c>
    </row>
    <row r="214" spans="1:22" x14ac:dyDescent="0.3">
      <c r="A214" t="s">
        <v>177</v>
      </c>
      <c r="B214" t="s">
        <v>56</v>
      </c>
      <c r="C214" t="s">
        <v>224</v>
      </c>
      <c r="F214" s="17"/>
      <c r="H214" s="13">
        <f t="shared" ref="H214:V214" si="45">H50-H132</f>
        <v>0</v>
      </c>
      <c r="I214" s="13">
        <f t="shared" si="45"/>
        <v>-0.12410984050235285</v>
      </c>
      <c r="J214" s="13">
        <f t="shared" si="45"/>
        <v>-0.25041404775557297</v>
      </c>
      <c r="K214" s="13">
        <f t="shared" si="45"/>
        <v>-0.72095762772974581</v>
      </c>
      <c r="L214" s="13">
        <f t="shared" si="45"/>
        <v>-1.3500143677606715</v>
      </c>
      <c r="M214" s="13">
        <f t="shared" si="45"/>
        <v>-2.1102715227554008</v>
      </c>
      <c r="N214" s="13">
        <f t="shared" si="45"/>
        <v>-3.1261050754085531</v>
      </c>
      <c r="O214" s="13">
        <f t="shared" si="45"/>
        <v>-3.8530970522865715</v>
      </c>
      <c r="P214" s="13">
        <f t="shared" si="45"/>
        <v>-4.662780483526344</v>
      </c>
      <c r="Q214" s="13">
        <f t="shared" si="45"/>
        <v>-5.5489761255375214</v>
      </c>
      <c r="R214" s="13">
        <f t="shared" si="45"/>
        <v>-6.4884277938605273</v>
      </c>
      <c r="S214" s="13">
        <f t="shared" si="45"/>
        <v>-7.4919697640561083</v>
      </c>
      <c r="T214" s="13">
        <f t="shared" si="45"/>
        <v>-8.5472952526779622</v>
      </c>
      <c r="U214" s="13">
        <f t="shared" si="45"/>
        <v>-9.6468623707235039</v>
      </c>
      <c r="V214" s="13">
        <f t="shared" si="45"/>
        <v>-10.778013711605141</v>
      </c>
    </row>
    <row r="215" spans="1:22" x14ac:dyDescent="0.3">
      <c r="A215" t="s">
        <v>140</v>
      </c>
      <c r="B215" t="s">
        <v>23</v>
      </c>
      <c r="C215" t="s">
        <v>221</v>
      </c>
      <c r="F215" s="17"/>
      <c r="H215" s="13">
        <f t="shared" ref="H215:V215" si="46">H51-H133</f>
        <v>0</v>
      </c>
      <c r="I215" s="13">
        <f t="shared" si="46"/>
        <v>-0.24431938055909619</v>
      </c>
      <c r="J215" s="13">
        <f t="shared" si="46"/>
        <v>-0.41936970542279717</v>
      </c>
      <c r="K215" s="13">
        <f t="shared" si="46"/>
        <v>-0.67839692344369595</v>
      </c>
      <c r="L215" s="13">
        <f t="shared" si="46"/>
        <v>-0.71542601956381091</v>
      </c>
      <c r="M215" s="13">
        <f t="shared" si="46"/>
        <v>-0.85349184488488561</v>
      </c>
      <c r="N215" s="13">
        <f t="shared" si="46"/>
        <v>-1.0160488625985753</v>
      </c>
      <c r="O215" s="13">
        <f t="shared" si="46"/>
        <v>-1.0856802340694607</v>
      </c>
      <c r="P215" s="13">
        <f t="shared" si="46"/>
        <v>-1.155924202353205</v>
      </c>
      <c r="Q215" s="13">
        <f t="shared" si="46"/>
        <v>-1.2260326440982006</v>
      </c>
      <c r="R215" s="13">
        <f t="shared" si="46"/>
        <v>-1.2961926443623515</v>
      </c>
      <c r="S215" s="13">
        <f t="shared" si="46"/>
        <v>-1.3667636842326267</v>
      </c>
      <c r="T215" s="13">
        <f t="shared" si="46"/>
        <v>-1.4372828907034023</v>
      </c>
      <c r="U215" s="13">
        <f t="shared" si="46"/>
        <v>-1.5077745957850546</v>
      </c>
      <c r="V215" s="13">
        <f t="shared" si="46"/>
        <v>-1.5787802058834917</v>
      </c>
    </row>
    <row r="216" spans="1:22" x14ac:dyDescent="0.3">
      <c r="A216" t="s">
        <v>120</v>
      </c>
      <c r="B216" t="s">
        <v>3</v>
      </c>
      <c r="C216" t="s">
        <v>224</v>
      </c>
      <c r="F216" s="17"/>
      <c r="H216" s="13">
        <f t="shared" ref="H216:V216" si="47">H52-H134</f>
        <v>0</v>
      </c>
      <c r="I216" s="13">
        <f t="shared" si="47"/>
        <v>5.9777552099790299E-2</v>
      </c>
      <c r="J216" s="13">
        <f t="shared" si="47"/>
        <v>1.9868416364177577E-2</v>
      </c>
      <c r="K216" s="13">
        <f t="shared" si="47"/>
        <v>-1.0823946269571394E-2</v>
      </c>
      <c r="L216" s="13">
        <f t="shared" si="47"/>
        <v>-3.5896836603892091E-2</v>
      </c>
      <c r="M216" s="13">
        <f t="shared" si="47"/>
        <v>-7.1455779309487433E-2</v>
      </c>
      <c r="N216" s="13">
        <f t="shared" si="47"/>
        <v>-0.25905405997260811</v>
      </c>
      <c r="O216" s="13">
        <f t="shared" si="47"/>
        <v>-0.43445310836882456</v>
      </c>
      <c r="P216" s="13">
        <f t="shared" si="47"/>
        <v>-0.65050085745378183</v>
      </c>
      <c r="Q216" s="13">
        <f t="shared" si="47"/>
        <v>-0.90832095921871936</v>
      </c>
      <c r="R216" s="13">
        <f t="shared" si="47"/>
        <v>-1.2005664942022376</v>
      </c>
      <c r="S216" s="13">
        <f t="shared" si="47"/>
        <v>-1.5172879137284152</v>
      </c>
      <c r="T216" s="13">
        <f t="shared" si="47"/>
        <v>-1.8540242163444836</v>
      </c>
      <c r="U216" s="13">
        <f t="shared" si="47"/>
        <v>-2.2059861600636843</v>
      </c>
      <c r="V216" s="13">
        <f t="shared" si="47"/>
        <v>-2.5695638666776208</v>
      </c>
    </row>
    <row r="217" spans="1:22" x14ac:dyDescent="0.3">
      <c r="A217" t="s">
        <v>121</v>
      </c>
      <c r="B217" t="s">
        <v>3</v>
      </c>
      <c r="C217" t="s">
        <v>221</v>
      </c>
      <c r="F217" s="17"/>
      <c r="H217" s="13">
        <f t="shared" ref="H217:V217" si="48">H53-H135</f>
        <v>0</v>
      </c>
      <c r="I217" s="13">
        <f t="shared" si="48"/>
        <v>-0.51084207914439528</v>
      </c>
      <c r="J217" s="13">
        <f t="shared" si="48"/>
        <v>-0.81110859466098084</v>
      </c>
      <c r="K217" s="13">
        <f t="shared" si="48"/>
        <v>-0.99451883328101687</v>
      </c>
      <c r="L217" s="13">
        <f t="shared" si="48"/>
        <v>-1.0548199767932909</v>
      </c>
      <c r="M217" s="13">
        <f t="shared" si="48"/>
        <v>-1.183429658248782</v>
      </c>
      <c r="N217" s="13">
        <f t="shared" si="48"/>
        <v>-1.292953833935222</v>
      </c>
      <c r="O217" s="13">
        <f t="shared" si="48"/>
        <v>-1.3285900857378685</v>
      </c>
      <c r="P217" s="13">
        <f t="shared" si="48"/>
        <v>-1.3647508332311675</v>
      </c>
      <c r="Q217" s="13">
        <f t="shared" si="48"/>
        <v>-1.4011392624091563</v>
      </c>
      <c r="R217" s="13">
        <f t="shared" si="48"/>
        <v>-1.4374006600383513</v>
      </c>
      <c r="S217" s="13">
        <f t="shared" si="48"/>
        <v>-1.4735593684599788</v>
      </c>
      <c r="T217" s="13">
        <f t="shared" si="48"/>
        <v>-1.509525544673977</v>
      </c>
      <c r="U217" s="13">
        <f t="shared" si="48"/>
        <v>-1.545259974841124</v>
      </c>
      <c r="V217" s="13">
        <f t="shared" si="48"/>
        <v>-1.5808731307279364</v>
      </c>
    </row>
    <row r="218" spans="1:22" x14ac:dyDescent="0.3">
      <c r="A218" t="s">
        <v>122</v>
      </c>
      <c r="B218" t="s">
        <v>3</v>
      </c>
      <c r="C218" t="s">
        <v>222</v>
      </c>
      <c r="F218" s="17"/>
      <c r="H218" s="13">
        <f t="shared" ref="H218:V218" si="49">H54-H136</f>
        <v>0</v>
      </c>
      <c r="I218" s="13">
        <f t="shared" si="49"/>
        <v>0.3495360468732116</v>
      </c>
      <c r="J218" s="13">
        <f t="shared" si="49"/>
        <v>0.60366088782663319</v>
      </c>
      <c r="K218" s="13">
        <f t="shared" si="49"/>
        <v>0.81425841296696255</v>
      </c>
      <c r="L218" s="13">
        <f t="shared" si="49"/>
        <v>0.89880559047428044</v>
      </c>
      <c r="M218" s="13">
        <f t="shared" si="49"/>
        <v>1.1717064278264626</v>
      </c>
      <c r="N218" s="13">
        <f t="shared" si="49"/>
        <v>1.1225676669842102</v>
      </c>
      <c r="O218" s="13">
        <f t="shared" si="49"/>
        <v>1.3733599542885564</v>
      </c>
      <c r="P218" s="13">
        <f t="shared" si="49"/>
        <v>1.6228864344858422</v>
      </c>
      <c r="Q218" s="13">
        <f t="shared" si="49"/>
        <v>1.8686164635886904</v>
      </c>
      <c r="R218" s="13">
        <f t="shared" si="49"/>
        <v>2.1156573268687211</v>
      </c>
      <c r="S218" s="13">
        <f t="shared" si="49"/>
        <v>2.3533831406395223</v>
      </c>
      <c r="T218" s="13">
        <f t="shared" si="49"/>
        <v>2.5801158317397892</v>
      </c>
      <c r="U218" s="13">
        <f t="shared" si="49"/>
        <v>2.7949391731273145</v>
      </c>
      <c r="V218" s="13">
        <f t="shared" si="49"/>
        <v>2.9957154964920889</v>
      </c>
    </row>
    <row r="219" spans="1:22" x14ac:dyDescent="0.3">
      <c r="A219" t="s">
        <v>178</v>
      </c>
      <c r="B219" t="s">
        <v>56</v>
      </c>
      <c r="C219" t="s">
        <v>222</v>
      </c>
      <c r="F219" s="17"/>
      <c r="H219" s="13">
        <f t="shared" ref="H219:V219" si="50">H55-H137</f>
        <v>0</v>
      </c>
      <c r="I219" s="13">
        <f t="shared" si="50"/>
        <v>-0.19535853586924823</v>
      </c>
      <c r="J219" s="13">
        <f t="shared" si="50"/>
        <v>-0.51364867050626195</v>
      </c>
      <c r="K219" s="13">
        <f t="shared" si="50"/>
        <v>-0.7946405115995816</v>
      </c>
      <c r="L219" s="13">
        <f t="shared" si="50"/>
        <v>-1.0836128334427588</v>
      </c>
      <c r="M219" s="13">
        <f t="shared" si="50"/>
        <v>-1.1923794171992164</v>
      </c>
      <c r="N219" s="13">
        <f t="shared" si="50"/>
        <v>-1.2729550719342182</v>
      </c>
      <c r="O219" s="13">
        <f t="shared" si="50"/>
        <v>-1.1427994298475088</v>
      </c>
      <c r="P219" s="13">
        <f t="shared" si="50"/>
        <v>-1.0238035902819291</v>
      </c>
      <c r="Q219" s="13">
        <f t="shared" si="50"/>
        <v>-0.91789980042657859</v>
      </c>
      <c r="R219" s="13">
        <f t="shared" si="50"/>
        <v>-0.81704776028912285</v>
      </c>
      <c r="S219" s="13">
        <f t="shared" si="50"/>
        <v>-0.72295160623000676</v>
      </c>
      <c r="T219" s="13">
        <f t="shared" si="50"/>
        <v>-0.63645104473562064</v>
      </c>
      <c r="U219" s="13">
        <f t="shared" si="50"/>
        <v>-0.55688944404338159</v>
      </c>
      <c r="V219" s="13">
        <f t="shared" si="50"/>
        <v>-0.48504794283498676</v>
      </c>
    </row>
    <row r="220" spans="1:22" x14ac:dyDescent="0.3">
      <c r="A220" t="s">
        <v>179</v>
      </c>
      <c r="B220" t="s">
        <v>56</v>
      </c>
      <c r="C220" t="s">
        <v>221</v>
      </c>
      <c r="F220" s="17"/>
      <c r="H220" s="13">
        <f t="shared" ref="H220:V220" si="51">H56-H138</f>
        <v>0</v>
      </c>
      <c r="I220" s="13">
        <f t="shared" si="51"/>
        <v>0.50444127907703695</v>
      </c>
      <c r="J220" s="13">
        <f t="shared" si="51"/>
        <v>0.42945943863510028</v>
      </c>
      <c r="K220" s="13">
        <f t="shared" si="51"/>
        <v>0.39873999642949975</v>
      </c>
      <c r="L220" s="13">
        <f t="shared" si="51"/>
        <v>0.40681520408883109</v>
      </c>
      <c r="M220" s="13">
        <f t="shared" si="51"/>
        <v>0.31373155070764103</v>
      </c>
      <c r="N220" s="13">
        <f t="shared" si="51"/>
        <v>0.11335192126554539</v>
      </c>
      <c r="O220" s="13">
        <f t="shared" si="51"/>
        <v>-2.2726663384751156E-2</v>
      </c>
      <c r="P220" s="13">
        <f t="shared" si="51"/>
        <v>-0.16300600698084633</v>
      </c>
      <c r="Q220" s="13">
        <f t="shared" si="51"/>
        <v>-0.30572483212898938</v>
      </c>
      <c r="R220" s="13">
        <f t="shared" si="51"/>
        <v>-0.44982394330934916</v>
      </c>
      <c r="S220" s="13">
        <f t="shared" si="51"/>
        <v>-0.59505969968953121</v>
      </c>
      <c r="T220" s="13">
        <f t="shared" si="51"/>
        <v>-0.74095084207203232</v>
      </c>
      <c r="U220" s="13">
        <f t="shared" si="51"/>
        <v>-0.88747135402784671</v>
      </c>
      <c r="V220" s="13">
        <f t="shared" si="51"/>
        <v>-1.0350796451810877</v>
      </c>
    </row>
    <row r="221" spans="1:22" x14ac:dyDescent="0.3">
      <c r="A221" t="s">
        <v>141</v>
      </c>
      <c r="B221" t="s">
        <v>23</v>
      </c>
      <c r="C221" t="s">
        <v>222</v>
      </c>
      <c r="F221" s="17"/>
      <c r="H221" s="13">
        <f t="shared" ref="H221:V221" si="52">H57-H139</f>
        <v>0</v>
      </c>
      <c r="I221" s="13">
        <f t="shared" si="52"/>
        <v>-1.3833928604785015</v>
      </c>
      <c r="J221" s="13">
        <f t="shared" si="52"/>
        <v>-2.4346135699084748</v>
      </c>
      <c r="K221" s="13">
        <f t="shared" si="52"/>
        <v>-3.2423337364008518</v>
      </c>
      <c r="L221" s="13">
        <f t="shared" si="52"/>
        <v>-3.953327369169962</v>
      </c>
      <c r="M221" s="13">
        <f t="shared" si="52"/>
        <v>-4.1675315680604861</v>
      </c>
      <c r="N221" s="13">
        <f t="shared" si="52"/>
        <v>-4.674502932150844</v>
      </c>
      <c r="O221" s="13">
        <f t="shared" si="52"/>
        <v>-4.5826947030353224</v>
      </c>
      <c r="P221" s="13">
        <f t="shared" si="52"/>
        <v>-4.4923218447532172</v>
      </c>
      <c r="Q221" s="13">
        <f t="shared" si="52"/>
        <v>-4.4059752992824848</v>
      </c>
      <c r="R221" s="13">
        <f t="shared" si="52"/>
        <v>-4.3162452364851944</v>
      </c>
      <c r="S221" s="13">
        <f t="shared" si="52"/>
        <v>-4.2374902278863047</v>
      </c>
      <c r="T221" s="13">
        <f t="shared" si="52"/>
        <v>-4.1703500061754681</v>
      </c>
      <c r="U221" s="13">
        <f t="shared" si="52"/>
        <v>-4.1154993753643545</v>
      </c>
      <c r="V221" s="13">
        <f t="shared" si="52"/>
        <v>-4.0757630017583075</v>
      </c>
    </row>
    <row r="222" spans="1:22" x14ac:dyDescent="0.3">
      <c r="A222" t="s">
        <v>158</v>
      </c>
      <c r="B222" t="s">
        <v>41</v>
      </c>
      <c r="C222" t="s">
        <v>224</v>
      </c>
      <c r="F222" s="17"/>
      <c r="H222" s="13">
        <f t="shared" ref="H222:V222" si="53">H58-H140</f>
        <v>0</v>
      </c>
      <c r="I222" s="13">
        <f t="shared" si="53"/>
        <v>0.535969858414866</v>
      </c>
      <c r="J222" s="13">
        <f t="shared" si="53"/>
        <v>0.84225116883844109</v>
      </c>
      <c r="K222" s="13">
        <f t="shared" si="53"/>
        <v>1.0543047582362473</v>
      </c>
      <c r="L222" s="13">
        <f t="shared" si="53"/>
        <v>1.1849077338188341</v>
      </c>
      <c r="M222" s="13">
        <f t="shared" si="53"/>
        <v>1.3592314022078913</v>
      </c>
      <c r="N222" s="13">
        <f t="shared" si="53"/>
        <v>1.3964198462295254</v>
      </c>
      <c r="O222" s="13">
        <f t="shared" si="53"/>
        <v>1.5976641599535117</v>
      </c>
      <c r="P222" s="13">
        <f t="shared" si="53"/>
        <v>1.7897769704616646</v>
      </c>
      <c r="Q222" s="13">
        <f t="shared" si="53"/>
        <v>1.9726211892123846</v>
      </c>
      <c r="R222" s="13">
        <f t="shared" si="53"/>
        <v>2.1519423533583755</v>
      </c>
      <c r="S222" s="13">
        <f t="shared" si="53"/>
        <v>2.3202827706954956</v>
      </c>
      <c r="T222" s="13">
        <f t="shared" si="53"/>
        <v>2.4778565592555566</v>
      </c>
      <c r="U222" s="13">
        <f t="shared" si="53"/>
        <v>2.6245235294338229</v>
      </c>
      <c r="V222" s="13">
        <f t="shared" si="53"/>
        <v>2.7587470742550586</v>
      </c>
    </row>
    <row r="223" spans="1:22" x14ac:dyDescent="0.3">
      <c r="A223" t="s">
        <v>142</v>
      </c>
      <c r="B223" t="s">
        <v>23</v>
      </c>
      <c r="C223" t="s">
        <v>221</v>
      </c>
      <c r="F223" s="17"/>
      <c r="H223" s="13">
        <f t="shared" ref="H223:V223" si="54">H59-H141</f>
        <v>0</v>
      </c>
      <c r="I223" s="13">
        <f t="shared" si="54"/>
        <v>5.9123138365595462E-3</v>
      </c>
      <c r="J223" s="13">
        <f t="shared" si="54"/>
        <v>-0.15319370135407828</v>
      </c>
      <c r="K223" s="13">
        <f t="shared" si="54"/>
        <v>-0.23801275820446932</v>
      </c>
      <c r="L223" s="13">
        <f t="shared" si="54"/>
        <v>-0.22910642069526554</v>
      </c>
      <c r="M223" s="13">
        <f t="shared" si="54"/>
        <v>-0.24846528192808859</v>
      </c>
      <c r="N223" s="13">
        <f t="shared" si="54"/>
        <v>-0.2722671091884461</v>
      </c>
      <c r="O223" s="13">
        <f t="shared" si="54"/>
        <v>-0.28236960877955264</v>
      </c>
      <c r="P223" s="13">
        <f t="shared" si="54"/>
        <v>-0.29295825871306325</v>
      </c>
      <c r="Q223" s="13">
        <f t="shared" si="54"/>
        <v>-0.30419592459362477</v>
      </c>
      <c r="R223" s="13">
        <f t="shared" si="54"/>
        <v>-0.31604336279948875</v>
      </c>
      <c r="S223" s="13">
        <f t="shared" si="54"/>
        <v>-0.32842785405404795</v>
      </c>
      <c r="T223" s="13">
        <f t="shared" si="54"/>
        <v>-0.34124871396762924</v>
      </c>
      <c r="U223" s="13">
        <f t="shared" si="54"/>
        <v>-0.35435469855998103</v>
      </c>
      <c r="V223" s="13">
        <f t="shared" si="54"/>
        <v>-0.36761972385850417</v>
      </c>
    </row>
    <row r="224" spans="1:22" x14ac:dyDescent="0.3">
      <c r="A224" t="s">
        <v>180</v>
      </c>
      <c r="B224" t="s">
        <v>56</v>
      </c>
      <c r="C224" t="s">
        <v>221</v>
      </c>
      <c r="F224" s="17"/>
      <c r="H224" s="13">
        <f t="shared" ref="H224:V224" si="55">H60-H142</f>
        <v>0</v>
      </c>
      <c r="I224" s="13">
        <f t="shared" si="55"/>
        <v>-9.151685644574914E-2</v>
      </c>
      <c r="J224" s="13">
        <f t="shared" si="55"/>
        <v>-0.2587274079345705</v>
      </c>
      <c r="K224" s="13">
        <f t="shared" si="55"/>
        <v>-0.40675222769293562</v>
      </c>
      <c r="L224" s="13">
        <f t="shared" si="55"/>
        <v>-0.45671077988971032</v>
      </c>
      <c r="M224" s="13">
        <f t="shared" si="55"/>
        <v>-0.47521123729468284</v>
      </c>
      <c r="N224" s="13">
        <f t="shared" si="55"/>
        <v>-0.52339744721982173</v>
      </c>
      <c r="O224" s="13">
        <f t="shared" si="55"/>
        <v>-0.53445827861811024</v>
      </c>
      <c r="P224" s="13">
        <f t="shared" si="55"/>
        <v>-0.54585606144924048</v>
      </c>
      <c r="Q224" s="13">
        <f t="shared" si="55"/>
        <v>-0.557444162263252</v>
      </c>
      <c r="R224" s="13">
        <f t="shared" si="55"/>
        <v>-0.56900443824108971</v>
      </c>
      <c r="S224" s="13">
        <f t="shared" si="55"/>
        <v>-0.58058529106147949</v>
      </c>
      <c r="T224" s="13">
        <f t="shared" si="55"/>
        <v>-0.59221497569467108</v>
      </c>
      <c r="U224" s="13">
        <f t="shared" si="55"/>
        <v>-0.60385228608038277</v>
      </c>
      <c r="V224" s="13">
        <f t="shared" si="55"/>
        <v>-0.61548939802965785</v>
      </c>
    </row>
    <row r="225" spans="1:22" x14ac:dyDescent="0.3">
      <c r="A225" t="s">
        <v>123</v>
      </c>
      <c r="B225" t="s">
        <v>3</v>
      </c>
      <c r="C225" t="s">
        <v>221</v>
      </c>
      <c r="F225" s="17"/>
      <c r="H225" s="13">
        <f t="shared" ref="H225:V225" si="56">H61-H143</f>
        <v>0</v>
      </c>
      <c r="I225" s="13">
        <f t="shared" si="56"/>
        <v>-0.17775838621057649</v>
      </c>
      <c r="J225" s="13">
        <f t="shared" si="56"/>
        <v>-0.1618914970884282</v>
      </c>
      <c r="K225" s="13">
        <f t="shared" si="56"/>
        <v>-0.16112521026672799</v>
      </c>
      <c r="L225" s="13">
        <f t="shared" si="56"/>
        <v>-0.17774635371943348</v>
      </c>
      <c r="M225" s="13">
        <f t="shared" si="56"/>
        <v>-0.20401689072422591</v>
      </c>
      <c r="N225" s="13">
        <f t="shared" si="56"/>
        <v>-0.23515697390256807</v>
      </c>
      <c r="O225" s="13">
        <f t="shared" si="56"/>
        <v>-0.24748419771181251</v>
      </c>
      <c r="P225" s="13">
        <f t="shared" si="56"/>
        <v>-0.26010842075676521</v>
      </c>
      <c r="Q225" s="13">
        <f t="shared" si="56"/>
        <v>-0.27283990519521173</v>
      </c>
      <c r="R225" s="13">
        <f t="shared" si="56"/>
        <v>-0.28576555184524044</v>
      </c>
      <c r="S225" s="13">
        <f t="shared" si="56"/>
        <v>-0.29890054442208158</v>
      </c>
      <c r="T225" s="13">
        <f t="shared" si="56"/>
        <v>-0.31222978422265557</v>
      </c>
      <c r="U225" s="13">
        <f t="shared" si="56"/>
        <v>-0.32573323499965401</v>
      </c>
      <c r="V225" s="13">
        <f t="shared" si="56"/>
        <v>-0.33946094783069003</v>
      </c>
    </row>
    <row r="226" spans="1:22" x14ac:dyDescent="0.3">
      <c r="A226" t="s">
        <v>143</v>
      </c>
      <c r="B226" t="s">
        <v>23</v>
      </c>
      <c r="C226" t="s">
        <v>224</v>
      </c>
      <c r="F226" s="17"/>
      <c r="H226" s="13">
        <f t="shared" ref="H226:V226" si="57">H62-H144</f>
        <v>0</v>
      </c>
      <c r="I226" s="13">
        <f t="shared" si="57"/>
        <v>0.51761428135996645</v>
      </c>
      <c r="J226" s="13">
        <f t="shared" si="57"/>
        <v>0.69521512586464329</v>
      </c>
      <c r="K226" s="13">
        <f t="shared" si="57"/>
        <v>0.80577915462323002</v>
      </c>
      <c r="L226" s="13">
        <f t="shared" si="57"/>
        <v>0.88187770430274526</v>
      </c>
      <c r="M226" s="13">
        <f t="shared" si="57"/>
        <v>0.97390242738449295</v>
      </c>
      <c r="N226" s="13">
        <f t="shared" si="57"/>
        <v>1.0297618609843848</v>
      </c>
      <c r="O226" s="13">
        <f t="shared" si="57"/>
        <v>1.1594421338572802</v>
      </c>
      <c r="P226" s="13">
        <f t="shared" si="57"/>
        <v>1.2848089431538394</v>
      </c>
      <c r="Q226" s="13">
        <f t="shared" si="57"/>
        <v>1.4060901406502548</v>
      </c>
      <c r="R226" s="13">
        <f t="shared" si="57"/>
        <v>1.5266263827913527</v>
      </c>
      <c r="S226" s="13">
        <f t="shared" si="57"/>
        <v>1.6426967254210529</v>
      </c>
      <c r="T226" s="13">
        <f t="shared" si="57"/>
        <v>1.7543623125230372</v>
      </c>
      <c r="U226" s="13">
        <f t="shared" si="57"/>
        <v>1.8615556356044083</v>
      </c>
      <c r="V226" s="13">
        <f t="shared" si="57"/>
        <v>1.9636329699793738</v>
      </c>
    </row>
    <row r="227" spans="1:22" x14ac:dyDescent="0.3">
      <c r="A227" t="s">
        <v>181</v>
      </c>
      <c r="B227" t="s">
        <v>56</v>
      </c>
      <c r="C227" t="s">
        <v>221</v>
      </c>
      <c r="F227" s="17"/>
      <c r="H227" s="13">
        <f t="shared" ref="H227:V227" si="58">H63-H145</f>
        <v>0</v>
      </c>
      <c r="I227" s="13">
        <f t="shared" si="58"/>
        <v>-0.51127595669003023</v>
      </c>
      <c r="J227" s="13">
        <f t="shared" si="58"/>
        <v>-1.0122029356443201</v>
      </c>
      <c r="K227" s="13">
        <f t="shared" si="58"/>
        <v>-1.3019907033553397</v>
      </c>
      <c r="L227" s="13">
        <f t="shared" si="58"/>
        <v>-1.3255323512838855</v>
      </c>
      <c r="M227" s="13">
        <f t="shared" si="58"/>
        <v>-1.378117796019497</v>
      </c>
      <c r="N227" s="13">
        <f t="shared" si="58"/>
        <v>-1.3865940517545017</v>
      </c>
      <c r="O227" s="13">
        <f t="shared" si="58"/>
        <v>-1.3754916667458086</v>
      </c>
      <c r="P227" s="13">
        <f t="shared" si="58"/>
        <v>-1.3652856500511139</v>
      </c>
      <c r="Q227" s="13">
        <f t="shared" si="58"/>
        <v>-1.3555040821688347</v>
      </c>
      <c r="R227" s="13">
        <f t="shared" si="58"/>
        <v>-1.3462542459082956</v>
      </c>
      <c r="S227" s="13">
        <f t="shared" si="58"/>
        <v>-1.3378378590805151</v>
      </c>
      <c r="T227" s="13">
        <f t="shared" si="58"/>
        <v>-1.3302011525617128</v>
      </c>
      <c r="U227" s="13">
        <f t="shared" si="58"/>
        <v>-1.323392543903458</v>
      </c>
      <c r="V227" s="13">
        <f t="shared" si="58"/>
        <v>-1.3174731577002095</v>
      </c>
    </row>
    <row r="228" spans="1:22" x14ac:dyDescent="0.3">
      <c r="A228" t="s">
        <v>159</v>
      </c>
      <c r="B228" t="s">
        <v>41</v>
      </c>
      <c r="C228" t="s">
        <v>222</v>
      </c>
      <c r="F228" s="17"/>
      <c r="H228" s="13">
        <f t="shared" ref="H228:V228" si="59">H64-H146</f>
        <v>0</v>
      </c>
      <c r="I228" s="13">
        <f t="shared" si="59"/>
        <v>-2.7439216847134666</v>
      </c>
      <c r="J228" s="13">
        <f t="shared" si="59"/>
        <v>-4.0039293381902041</v>
      </c>
      <c r="K228" s="13">
        <f t="shared" si="59"/>
        <v>-4.9868837793289256</v>
      </c>
      <c r="L228" s="13">
        <f t="shared" si="59"/>
        <v>-5.8504157833449018</v>
      </c>
      <c r="M228" s="13">
        <f t="shared" si="59"/>
        <v>-6.7189544328868305</v>
      </c>
      <c r="N228" s="13">
        <f t="shared" si="59"/>
        <v>-7.2766057082632081</v>
      </c>
      <c r="O228" s="13">
        <f t="shared" si="59"/>
        <v>-7.3722707118143767</v>
      </c>
      <c r="P228" s="13">
        <f t="shared" si="59"/>
        <v>-7.4823878320327033</v>
      </c>
      <c r="Q228" s="13">
        <f t="shared" si="59"/>
        <v>-7.6128714758612279</v>
      </c>
      <c r="R228" s="13">
        <f t="shared" si="59"/>
        <v>-7.7527045137165622</v>
      </c>
      <c r="S228" s="13">
        <f t="shared" si="59"/>
        <v>-7.901343162897577</v>
      </c>
      <c r="T228" s="13">
        <f t="shared" si="59"/>
        <v>-8.0600156777662981</v>
      </c>
      <c r="U228" s="13">
        <f t="shared" si="59"/>
        <v>-8.2293015144940753</v>
      </c>
      <c r="V228" s="13">
        <f t="shared" si="59"/>
        <v>-8.402238840520619</v>
      </c>
    </row>
    <row r="229" spans="1:22" x14ac:dyDescent="0.3">
      <c r="A229" t="s">
        <v>182</v>
      </c>
      <c r="B229" t="s">
        <v>56</v>
      </c>
      <c r="C229" t="s">
        <v>221</v>
      </c>
      <c r="F229" s="17"/>
      <c r="H229" s="13">
        <f t="shared" ref="H229:V229" si="60">H65-H147</f>
        <v>0</v>
      </c>
      <c r="I229" s="13">
        <f t="shared" si="60"/>
        <v>-1.613084755893035E-2</v>
      </c>
      <c r="J229" s="13">
        <f t="shared" si="60"/>
        <v>-0.33864805569714918</v>
      </c>
      <c r="K229" s="13">
        <f t="shared" si="60"/>
        <v>-0.55404440614806272</v>
      </c>
      <c r="L229" s="13">
        <f t="shared" si="60"/>
        <v>-0.53841051641663595</v>
      </c>
      <c r="M229" s="13">
        <f t="shared" si="60"/>
        <v>-0.49710746175007858</v>
      </c>
      <c r="N229" s="13">
        <f t="shared" si="60"/>
        <v>-0.50759184020757142</v>
      </c>
      <c r="O229" s="13">
        <f t="shared" si="60"/>
        <v>-0.51520991180100983</v>
      </c>
      <c r="P229" s="13">
        <f t="shared" si="60"/>
        <v>-0.52311031692471999</v>
      </c>
      <c r="Q229" s="13">
        <f t="shared" si="60"/>
        <v>-0.53111909035664762</v>
      </c>
      <c r="R229" s="13">
        <f t="shared" si="60"/>
        <v>-0.53921850868051058</v>
      </c>
      <c r="S229" s="13">
        <f t="shared" si="60"/>
        <v>-0.5474740675583305</v>
      </c>
      <c r="T229" s="13">
        <f t="shared" si="60"/>
        <v>-0.55585460523024888</v>
      </c>
      <c r="U229" s="13">
        <f t="shared" si="60"/>
        <v>-0.56417074707898163</v>
      </c>
      <c r="V229" s="13">
        <f t="shared" si="60"/>
        <v>-0.57233390196618528</v>
      </c>
    </row>
    <row r="230" spans="1:22" x14ac:dyDescent="0.3">
      <c r="A230" t="s">
        <v>183</v>
      </c>
      <c r="B230" t="s">
        <v>56</v>
      </c>
      <c r="C230" t="s">
        <v>221</v>
      </c>
      <c r="F230" s="17"/>
      <c r="H230" s="13">
        <f t="shared" ref="H230:V230" si="61">H66-H148</f>
        <v>0</v>
      </c>
      <c r="I230" s="13">
        <f t="shared" si="61"/>
        <v>1.7743934394303246E-2</v>
      </c>
      <c r="J230" s="13">
        <f t="shared" si="61"/>
        <v>2.4691742110309806E-2</v>
      </c>
      <c r="K230" s="13">
        <f t="shared" si="61"/>
        <v>3.8776398827722131E-2</v>
      </c>
      <c r="L230" s="13">
        <f t="shared" si="61"/>
        <v>3.8600147330986906E-2</v>
      </c>
      <c r="M230" s="13">
        <f t="shared" si="61"/>
        <v>3.1062075391093263E-2</v>
      </c>
      <c r="N230" s="13">
        <f t="shared" si="61"/>
        <v>3.0456482431025333E-2</v>
      </c>
      <c r="O230" s="13">
        <f t="shared" si="61"/>
        <v>3.0323570920890885E-2</v>
      </c>
      <c r="P230" s="13">
        <f t="shared" si="61"/>
        <v>3.0074014447086267E-2</v>
      </c>
      <c r="Q230" s="13">
        <f t="shared" si="61"/>
        <v>2.9756266733197062E-2</v>
      </c>
      <c r="R230" s="13">
        <f t="shared" si="61"/>
        <v>2.9387751507541582E-2</v>
      </c>
      <c r="S230" s="13">
        <f t="shared" si="61"/>
        <v>2.8987274085814307E-2</v>
      </c>
      <c r="T230" s="13">
        <f t="shared" si="61"/>
        <v>2.8571006031107155E-2</v>
      </c>
      <c r="U230" s="13">
        <f t="shared" si="61"/>
        <v>2.8152135637278863E-2</v>
      </c>
      <c r="V230" s="13">
        <f t="shared" si="61"/>
        <v>2.7734278690963593E-2</v>
      </c>
    </row>
    <row r="231" spans="1:22" x14ac:dyDescent="0.3">
      <c r="A231" t="s">
        <v>160</v>
      </c>
      <c r="B231" t="s">
        <v>41</v>
      </c>
      <c r="C231" t="s">
        <v>221</v>
      </c>
      <c r="F231" s="17"/>
      <c r="H231" s="13">
        <f t="shared" ref="H231:V231" si="62">H67-H149</f>
        <v>0</v>
      </c>
      <c r="I231" s="13">
        <f t="shared" si="62"/>
        <v>0.10647405001778409</v>
      </c>
      <c r="J231" s="13">
        <f t="shared" si="62"/>
        <v>-0.25353573981935007</v>
      </c>
      <c r="K231" s="13">
        <f t="shared" si="62"/>
        <v>-0.46938330975090992</v>
      </c>
      <c r="L231" s="13">
        <f t="shared" si="62"/>
        <v>-0.48586302602862608</v>
      </c>
      <c r="M231" s="13">
        <f t="shared" si="62"/>
        <v>-0.51681978458855626</v>
      </c>
      <c r="N231" s="13">
        <f t="shared" si="62"/>
        <v>-0.55721947673188899</v>
      </c>
      <c r="O231" s="13">
        <f t="shared" si="62"/>
        <v>-0.58142315025808022</v>
      </c>
      <c r="P231" s="13">
        <f t="shared" si="62"/>
        <v>-0.60736180282725183</v>
      </c>
      <c r="Q231" s="13">
        <f t="shared" si="62"/>
        <v>-0.63399434996573145</v>
      </c>
      <c r="R231" s="13">
        <f t="shared" si="62"/>
        <v>-0.66047443554744589</v>
      </c>
      <c r="S231" s="13">
        <f t="shared" si="62"/>
        <v>-0.68667057720730273</v>
      </c>
      <c r="T231" s="13">
        <f t="shared" si="62"/>
        <v>-0.71251523778399894</v>
      </c>
      <c r="U231" s="13">
        <f t="shared" si="62"/>
        <v>-0.73785658545946342</v>
      </c>
      <c r="V231" s="13">
        <f t="shared" si="62"/>
        <v>-0.76298383787805157</v>
      </c>
    </row>
    <row r="232" spans="1:22" x14ac:dyDescent="0.3">
      <c r="A232" t="s">
        <v>184</v>
      </c>
      <c r="B232" t="s">
        <v>56</v>
      </c>
      <c r="C232" t="s">
        <v>221</v>
      </c>
      <c r="F232" s="17"/>
      <c r="H232" s="13">
        <f t="shared" ref="H232:V232" si="63">H68-H150</f>
        <v>0</v>
      </c>
      <c r="I232" s="13">
        <f t="shared" si="63"/>
        <v>-6.2623257340444827E-2</v>
      </c>
      <c r="J232" s="13">
        <f t="shared" si="63"/>
        <v>-7.7143177713035804E-2</v>
      </c>
      <c r="K232" s="13">
        <f t="shared" si="63"/>
        <v>-8.1276943345908848E-2</v>
      </c>
      <c r="L232" s="13">
        <f t="shared" si="63"/>
        <v>-0.11022346350871959</v>
      </c>
      <c r="M232" s="13">
        <f t="shared" si="63"/>
        <v>-0.13925938695090845</v>
      </c>
      <c r="N232" s="13">
        <f t="shared" si="63"/>
        <v>-0.15590481405495815</v>
      </c>
      <c r="O232" s="13">
        <f t="shared" si="63"/>
        <v>-0.15076392115698112</v>
      </c>
      <c r="P232" s="13">
        <f t="shared" si="63"/>
        <v>-0.14569639983062843</v>
      </c>
      <c r="Q232" s="13">
        <f t="shared" si="63"/>
        <v>-0.14071377659706319</v>
      </c>
      <c r="R232" s="13">
        <f t="shared" si="63"/>
        <v>-0.13582378528044026</v>
      </c>
      <c r="S232" s="13">
        <f t="shared" si="63"/>
        <v>-0.13104437529674984</v>
      </c>
      <c r="T232" s="13">
        <f t="shared" si="63"/>
        <v>-0.1263518987500023</v>
      </c>
      <c r="U232" s="13">
        <f t="shared" si="63"/>
        <v>-0.12172084133637928</v>
      </c>
      <c r="V232" s="13">
        <f t="shared" si="63"/>
        <v>-0.11714631397950903</v>
      </c>
    </row>
    <row r="233" spans="1:22" x14ac:dyDescent="0.3">
      <c r="A233" t="s">
        <v>161</v>
      </c>
      <c r="B233" t="s">
        <v>41</v>
      </c>
      <c r="C233" t="s">
        <v>222</v>
      </c>
      <c r="F233" s="17"/>
      <c r="H233" s="13">
        <f t="shared" ref="H233:V233" si="64">H69-H151</f>
        <v>0</v>
      </c>
      <c r="I233" s="13">
        <f t="shared" si="64"/>
        <v>-0.28202165553730829</v>
      </c>
      <c r="J233" s="13">
        <f t="shared" si="64"/>
        <v>-0.75350082659027073</v>
      </c>
      <c r="K233" s="13">
        <f t="shared" si="64"/>
        <v>-1.2266656177152626</v>
      </c>
      <c r="L233" s="13">
        <f t="shared" si="64"/>
        <v>-1.6448988248130263</v>
      </c>
      <c r="M233" s="13">
        <f t="shared" si="64"/>
        <v>-1.9302776768403493</v>
      </c>
      <c r="N233" s="13">
        <f t="shared" si="64"/>
        <v>-2.1727563445907929</v>
      </c>
      <c r="O233" s="13">
        <f t="shared" si="64"/>
        <v>-2.1242759791501253</v>
      </c>
      <c r="P233" s="13">
        <f t="shared" si="64"/>
        <v>-2.0737439220856917</v>
      </c>
      <c r="Q233" s="13">
        <f t="shared" si="64"/>
        <v>-2.0191379731281174</v>
      </c>
      <c r="R233" s="13">
        <f t="shared" si="64"/>
        <v>-1.9575689100321227</v>
      </c>
      <c r="S233" s="13">
        <f t="shared" si="64"/>
        <v>-1.8984062287335011</v>
      </c>
      <c r="T233" s="13">
        <f t="shared" si="64"/>
        <v>-1.8431766351469481</v>
      </c>
      <c r="U233" s="13">
        <f t="shared" si="64"/>
        <v>-1.792528974558703</v>
      </c>
      <c r="V233" s="13">
        <f t="shared" si="64"/>
        <v>-1.7474138328939244</v>
      </c>
    </row>
    <row r="234" spans="1:22" x14ac:dyDescent="0.3">
      <c r="A234" t="s">
        <v>124</v>
      </c>
      <c r="B234" t="s">
        <v>3</v>
      </c>
      <c r="C234" t="s">
        <v>221</v>
      </c>
      <c r="F234" s="17"/>
      <c r="H234" s="13">
        <f t="shared" ref="H234:V234" si="65">H70-H152</f>
        <v>0</v>
      </c>
      <c r="I234" s="13">
        <f t="shared" si="65"/>
        <v>0.13314031545018234</v>
      </c>
      <c r="J234" s="13">
        <f t="shared" si="65"/>
        <v>-0.12264883626982592</v>
      </c>
      <c r="K234" s="13">
        <f t="shared" si="65"/>
        <v>-0.28668795475448761</v>
      </c>
      <c r="L234" s="13">
        <f t="shared" si="65"/>
        <v>-0.27669409892861152</v>
      </c>
      <c r="M234" s="13">
        <f t="shared" si="65"/>
        <v>-0.26559188838107617</v>
      </c>
      <c r="N234" s="13">
        <f t="shared" si="65"/>
        <v>-0.27811971895591192</v>
      </c>
      <c r="O234" s="13">
        <f t="shared" si="65"/>
        <v>-0.28589449290316815</v>
      </c>
      <c r="P234" s="13">
        <f t="shared" si="65"/>
        <v>-0.29375056800898758</v>
      </c>
      <c r="Q234" s="13">
        <f t="shared" si="65"/>
        <v>-0.30162620143896368</v>
      </c>
      <c r="R234" s="13">
        <f t="shared" si="65"/>
        <v>-0.30947469488039903</v>
      </c>
      <c r="S234" s="13">
        <f t="shared" si="65"/>
        <v>-0.31743222363971024</v>
      </c>
      <c r="T234" s="13">
        <f t="shared" si="65"/>
        <v>-0.3255397557632187</v>
      </c>
      <c r="U234" s="13">
        <f t="shared" si="65"/>
        <v>-0.33377044473572326</v>
      </c>
      <c r="V234" s="13">
        <f t="shared" si="65"/>
        <v>-0.34212666895147859</v>
      </c>
    </row>
    <row r="235" spans="1:22" x14ac:dyDescent="0.3">
      <c r="A235" t="s">
        <v>185</v>
      </c>
      <c r="B235" t="s">
        <v>56</v>
      </c>
      <c r="C235" t="s">
        <v>221</v>
      </c>
      <c r="F235" s="17"/>
      <c r="H235" s="13">
        <f t="shared" ref="H235:V235" si="66">H71-H153</f>
        <v>0</v>
      </c>
      <c r="I235" s="13">
        <f t="shared" si="66"/>
        <v>2.284272356694661E-2</v>
      </c>
      <c r="J235" s="13">
        <f t="shared" si="66"/>
        <v>-9.2499230822151723E-2</v>
      </c>
      <c r="K235" s="13">
        <f t="shared" si="66"/>
        <v>-0.16687123946056781</v>
      </c>
      <c r="L235" s="13">
        <f t="shared" si="66"/>
        <v>-0.194848810634761</v>
      </c>
      <c r="M235" s="13">
        <f t="shared" si="66"/>
        <v>-0.26754456884462252</v>
      </c>
      <c r="N235" s="13">
        <f t="shared" si="66"/>
        <v>-0.35891323819364107</v>
      </c>
      <c r="O235" s="13">
        <f t="shared" si="66"/>
        <v>-0.42184241398701161</v>
      </c>
      <c r="P235" s="13">
        <f t="shared" si="66"/>
        <v>-0.48674083229737031</v>
      </c>
      <c r="Q235" s="13">
        <f t="shared" si="66"/>
        <v>-0.55282814185570262</v>
      </c>
      <c r="R235" s="13">
        <f t="shared" si="66"/>
        <v>-0.61954265355557681</v>
      </c>
      <c r="S235" s="13">
        <f t="shared" si="66"/>
        <v>-0.68649841191540473</v>
      </c>
      <c r="T235" s="13">
        <f t="shared" si="66"/>
        <v>-0.75356893151441051</v>
      </c>
      <c r="U235" s="13">
        <f t="shared" si="66"/>
        <v>-0.82070444548951293</v>
      </c>
      <c r="V235" s="13">
        <f t="shared" si="66"/>
        <v>-0.88791161437828281</v>
      </c>
    </row>
    <row r="236" spans="1:22" x14ac:dyDescent="0.3">
      <c r="A236" t="s">
        <v>144</v>
      </c>
      <c r="B236" t="s">
        <v>23</v>
      </c>
      <c r="C236" t="s">
        <v>221</v>
      </c>
      <c r="F236" s="17"/>
      <c r="H236" s="13">
        <f t="shared" ref="H236:V236" si="67">H72-H154</f>
        <v>0</v>
      </c>
      <c r="I236" s="13">
        <f t="shared" si="67"/>
        <v>-0.51412880367815594</v>
      </c>
      <c r="J236" s="13">
        <f t="shared" si="67"/>
        <v>-0.56838868501127138</v>
      </c>
      <c r="K236" s="13">
        <f t="shared" si="67"/>
        <v>-0.63112122020714212</v>
      </c>
      <c r="L236" s="13">
        <f t="shared" si="67"/>
        <v>-0.71610216785961578</v>
      </c>
      <c r="M236" s="13">
        <f t="shared" si="67"/>
        <v>-0.735746589200724</v>
      </c>
      <c r="N236" s="13">
        <f t="shared" si="67"/>
        <v>-0.79306008217463697</v>
      </c>
      <c r="O236" s="13">
        <f t="shared" si="67"/>
        <v>-0.79736848104241131</v>
      </c>
      <c r="P236" s="13">
        <f t="shared" si="67"/>
        <v>-0.80219139246508631</v>
      </c>
      <c r="Q236" s="13">
        <f t="shared" si="67"/>
        <v>-0.8070660475673832</v>
      </c>
      <c r="R236" s="13">
        <f t="shared" si="67"/>
        <v>-0.81189163435816392</v>
      </c>
      <c r="S236" s="13">
        <f t="shared" si="67"/>
        <v>-0.81690072623972609</v>
      </c>
      <c r="T236" s="13">
        <f t="shared" si="67"/>
        <v>-0.82227388726997086</v>
      </c>
      <c r="U236" s="13">
        <f t="shared" si="67"/>
        <v>-0.82808952245142509</v>
      </c>
      <c r="V236" s="13">
        <f t="shared" si="67"/>
        <v>-0.83435396961721287</v>
      </c>
    </row>
    <row r="237" spans="1:22" x14ac:dyDescent="0.3">
      <c r="A237" t="s">
        <v>125</v>
      </c>
      <c r="B237" t="s">
        <v>3</v>
      </c>
      <c r="C237" t="s">
        <v>221</v>
      </c>
      <c r="F237" s="17"/>
      <c r="H237" s="13">
        <f t="shared" ref="H237:V237" si="68">H73-H155</f>
        <v>0</v>
      </c>
      <c r="I237" s="13">
        <f t="shared" si="68"/>
        <v>-2.2275944546331408</v>
      </c>
      <c r="J237" s="13">
        <f t="shared" si="68"/>
        <v>-4.1047139582850916</v>
      </c>
      <c r="K237" s="13">
        <f t="shared" si="68"/>
        <v>-5.1102726933692884</v>
      </c>
      <c r="L237" s="13">
        <f t="shared" si="68"/>
        <v>-5.0817012079997239</v>
      </c>
      <c r="M237" s="13">
        <f t="shared" si="68"/>
        <v>-5.0872533409253258</v>
      </c>
      <c r="N237" s="13">
        <f t="shared" si="68"/>
        <v>-5.0544221452588651</v>
      </c>
      <c r="O237" s="13">
        <f t="shared" si="68"/>
        <v>-5.036862238161576</v>
      </c>
      <c r="P237" s="13">
        <f t="shared" si="68"/>
        <v>-5.0203078125433667</v>
      </c>
      <c r="Q237" s="13">
        <f t="shared" si="68"/>
        <v>-5.0042265581321539</v>
      </c>
      <c r="R237" s="13">
        <f t="shared" si="68"/>
        <v>-4.9884023684071002</v>
      </c>
      <c r="S237" s="13">
        <f t="shared" si="68"/>
        <v>-4.9723765921830951</v>
      </c>
      <c r="T237" s="13">
        <f t="shared" si="68"/>
        <v>-4.9563025023539247</v>
      </c>
      <c r="U237" s="13">
        <f t="shared" si="68"/>
        <v>-4.9407616012333015</v>
      </c>
      <c r="V237" s="13">
        <f t="shared" si="68"/>
        <v>-4.9258073972843608</v>
      </c>
    </row>
    <row r="238" spans="1:22" x14ac:dyDescent="0.3">
      <c r="A238" t="s">
        <v>126</v>
      </c>
      <c r="B238" t="s">
        <v>3</v>
      </c>
      <c r="C238" t="s">
        <v>221</v>
      </c>
      <c r="F238" s="17"/>
      <c r="H238" s="13">
        <f t="shared" ref="H238:V238" si="69">H74-H156</f>
        <v>0</v>
      </c>
      <c r="I238" s="13">
        <f t="shared" si="69"/>
        <v>0.3697957862978023</v>
      </c>
      <c r="J238" s="13">
        <f t="shared" si="69"/>
        <v>0.1473073749413687</v>
      </c>
      <c r="K238" s="13">
        <f t="shared" si="69"/>
        <v>-5.6500862998998258E-3</v>
      </c>
      <c r="L238" s="13">
        <f t="shared" si="69"/>
        <v>-2.8015517073217477E-2</v>
      </c>
      <c r="M238" s="13">
        <f t="shared" si="69"/>
        <v>-2.8611725719937642E-2</v>
      </c>
      <c r="N238" s="13">
        <f t="shared" si="69"/>
        <v>-4.5225605737031049E-2</v>
      </c>
      <c r="O238" s="13">
        <f t="shared" si="69"/>
        <v>-5.010550661326274E-2</v>
      </c>
      <c r="P238" s="13">
        <f t="shared" si="69"/>
        <v>-5.546669708277463E-2</v>
      </c>
      <c r="Q238" s="13">
        <f t="shared" si="69"/>
        <v>-6.1047776998898406E-2</v>
      </c>
      <c r="R238" s="13">
        <f t="shared" si="69"/>
        <v>-6.6852514420322251E-2</v>
      </c>
      <c r="S238" s="13">
        <f t="shared" si="69"/>
        <v>-7.301948031948946E-2</v>
      </c>
      <c r="T238" s="13">
        <f t="shared" si="69"/>
        <v>-7.9563894413455571E-2</v>
      </c>
      <c r="U238" s="13">
        <f t="shared" si="69"/>
        <v>-8.6586245074474988E-2</v>
      </c>
      <c r="V238" s="13">
        <f t="shared" si="69"/>
        <v>-9.4109221520201292E-2</v>
      </c>
    </row>
    <row r="239" spans="1:22" x14ac:dyDescent="0.3">
      <c r="A239" t="s">
        <v>186</v>
      </c>
      <c r="B239" t="s">
        <v>56</v>
      </c>
      <c r="C239" t="s">
        <v>221</v>
      </c>
      <c r="F239" s="17"/>
      <c r="H239" s="13">
        <f t="shared" ref="H239:V239" si="70">H75-H157</f>
        <v>0</v>
      </c>
      <c r="I239" s="13">
        <f t="shared" si="70"/>
        <v>-0.33780341943652648</v>
      </c>
      <c r="J239" s="13">
        <f t="shared" si="70"/>
        <v>-0.5757897651897288</v>
      </c>
      <c r="K239" s="13">
        <f t="shared" si="70"/>
        <v>-0.81178418936212848</v>
      </c>
      <c r="L239" s="13">
        <f t="shared" si="70"/>
        <v>-0.93025272470195253</v>
      </c>
      <c r="M239" s="13">
        <f t="shared" si="70"/>
        <v>-1.0656937868667113</v>
      </c>
      <c r="N239" s="13">
        <f t="shared" si="70"/>
        <v>-1.1866620694061116</v>
      </c>
      <c r="O239" s="13">
        <f t="shared" si="70"/>
        <v>-1.2283004152228414</v>
      </c>
      <c r="P239" s="13">
        <f t="shared" si="70"/>
        <v>-1.2686152060671723</v>
      </c>
      <c r="Q239" s="13">
        <f t="shared" si="70"/>
        <v>-1.307556132899109</v>
      </c>
      <c r="R239" s="13">
        <f t="shared" si="70"/>
        <v>-1.3452094612885968</v>
      </c>
      <c r="S239" s="13">
        <f t="shared" si="70"/>
        <v>-1.381984488509556</v>
      </c>
      <c r="T239" s="13">
        <f t="shared" si="70"/>
        <v>-1.4180322433896051</v>
      </c>
      <c r="U239" s="13">
        <f t="shared" si="70"/>
        <v>-1.4536227770024044</v>
      </c>
      <c r="V239" s="13">
        <f t="shared" si="70"/>
        <v>-1.4890698530742088</v>
      </c>
    </row>
    <row r="240" spans="1:22" x14ac:dyDescent="0.3">
      <c r="A240" t="s">
        <v>162</v>
      </c>
      <c r="B240" t="s">
        <v>41</v>
      </c>
      <c r="C240" t="s">
        <v>221</v>
      </c>
      <c r="F240" s="17"/>
      <c r="H240" s="13">
        <f t="shared" ref="H240:V240" si="71">H76-H158</f>
        <v>0</v>
      </c>
      <c r="I240" s="13">
        <f t="shared" si="71"/>
        <v>0.20190350197556839</v>
      </c>
      <c r="J240" s="13">
        <f t="shared" si="71"/>
        <v>5.9333943435627035E-2</v>
      </c>
      <c r="K240" s="13">
        <f t="shared" si="71"/>
        <v>3.6072120673724228E-2</v>
      </c>
      <c r="L240" s="13">
        <f t="shared" si="71"/>
        <v>2.8135969990421117E-2</v>
      </c>
      <c r="M240" s="13">
        <f t="shared" si="71"/>
        <v>3.7658658821859703E-2</v>
      </c>
      <c r="N240" s="13">
        <f t="shared" si="71"/>
        <v>-1.9262987024135647E-2</v>
      </c>
      <c r="O240" s="13">
        <f t="shared" si="71"/>
        <v>-4.3104405357721198E-2</v>
      </c>
      <c r="P240" s="13">
        <f t="shared" si="71"/>
        <v>-6.814510031452059E-2</v>
      </c>
      <c r="Q240" s="13">
        <f t="shared" si="71"/>
        <v>-9.310124003472886E-2</v>
      </c>
      <c r="R240" s="13">
        <f t="shared" si="71"/>
        <v>-0.11777672874667289</v>
      </c>
      <c r="S240" s="13">
        <f t="shared" si="71"/>
        <v>-0.14244563614523109</v>
      </c>
      <c r="T240" s="13">
        <f t="shared" si="71"/>
        <v>-0.16707924366407578</v>
      </c>
      <c r="U240" s="13">
        <f t="shared" si="71"/>
        <v>-0.19166240022424486</v>
      </c>
      <c r="V240" s="13">
        <f t="shared" si="71"/>
        <v>-0.21634514150716821</v>
      </c>
    </row>
    <row r="241" spans="1:22" x14ac:dyDescent="0.3">
      <c r="A241" t="s">
        <v>187</v>
      </c>
      <c r="B241" t="s">
        <v>56</v>
      </c>
      <c r="C241" t="s">
        <v>221</v>
      </c>
      <c r="F241" s="17"/>
      <c r="H241" s="13">
        <f t="shared" ref="H241:V241" si="72">H77-H159</f>
        <v>0</v>
      </c>
      <c r="I241" s="13">
        <f t="shared" si="72"/>
        <v>-0.55819068546558226</v>
      </c>
      <c r="J241" s="13">
        <f t="shared" si="72"/>
        <v>-1.4310021913000492</v>
      </c>
      <c r="K241" s="13">
        <f t="shared" si="72"/>
        <v>-1.9104577440029276</v>
      </c>
      <c r="L241" s="13">
        <f t="shared" si="72"/>
        <v>-1.8382816718754647</v>
      </c>
      <c r="M241" s="13">
        <f t="shared" si="72"/>
        <v>-1.7437670483328411</v>
      </c>
      <c r="N241" s="13">
        <f t="shared" si="72"/>
        <v>-1.6983754389636336</v>
      </c>
      <c r="O241" s="13">
        <f t="shared" si="72"/>
        <v>-1.6570386908862818</v>
      </c>
      <c r="P241" s="13">
        <f t="shared" si="72"/>
        <v>-1.617912764540834</v>
      </c>
      <c r="Q241" s="13">
        <f t="shared" si="72"/>
        <v>-1.5812624471645667</v>
      </c>
      <c r="R241" s="13">
        <f t="shared" si="72"/>
        <v>-1.5458719543059913</v>
      </c>
      <c r="S241" s="13">
        <f t="shared" si="72"/>
        <v>-1.5120826428123022</v>
      </c>
      <c r="T241" s="13">
        <f t="shared" si="72"/>
        <v>-1.4795291218385207</v>
      </c>
      <c r="U241" s="13">
        <f t="shared" si="72"/>
        <v>-1.4472235789069992</v>
      </c>
      <c r="V241" s="13">
        <f t="shared" si="72"/>
        <v>-1.4149884265483978</v>
      </c>
    </row>
    <row r="242" spans="1:22" x14ac:dyDescent="0.3">
      <c r="A242" t="s">
        <v>127</v>
      </c>
      <c r="B242" t="s">
        <v>3</v>
      </c>
      <c r="C242" t="s">
        <v>222</v>
      </c>
      <c r="F242" s="17"/>
      <c r="H242" s="13">
        <f t="shared" ref="H242:V242" si="73">H78-H160</f>
        <v>0</v>
      </c>
      <c r="I242" s="13">
        <f t="shared" si="73"/>
        <v>-1.3128349403905144</v>
      </c>
      <c r="J242" s="13">
        <f t="shared" si="73"/>
        <v>-1.128566096928413</v>
      </c>
      <c r="K242" s="13">
        <f t="shared" si="73"/>
        <v>-0.95343180133275851</v>
      </c>
      <c r="L242" s="13">
        <f t="shared" si="73"/>
        <v>-0.8820298758042302</v>
      </c>
      <c r="M242" s="13">
        <f t="shared" si="73"/>
        <v>-0.66188982713686784</v>
      </c>
      <c r="N242" s="13">
        <f t="shared" si="73"/>
        <v>-0.77642277928486081</v>
      </c>
      <c r="O242" s="13">
        <f t="shared" si="73"/>
        <v>-0.59238562504524594</v>
      </c>
      <c r="P242" s="13">
        <f t="shared" si="73"/>
        <v>-0.40462968739480587</v>
      </c>
      <c r="Q242" s="13">
        <f t="shared" si="73"/>
        <v>-0.21714183207970272</v>
      </c>
      <c r="R242" s="13">
        <f t="shared" si="73"/>
        <v>-2.7762941226747273E-2</v>
      </c>
      <c r="S242" s="13">
        <f t="shared" si="73"/>
        <v>0.15279767647881926</v>
      </c>
      <c r="T242" s="13">
        <f t="shared" si="73"/>
        <v>0.32274510169837711</v>
      </c>
      <c r="U242" s="13">
        <f t="shared" si="73"/>
        <v>0.4814719800448124</v>
      </c>
      <c r="V242" s="13">
        <f t="shared" si="73"/>
        <v>0.62744609992530442</v>
      </c>
    </row>
    <row r="243" spans="1:22" x14ac:dyDescent="0.3">
      <c r="A243" t="s">
        <v>145</v>
      </c>
      <c r="B243" t="s">
        <v>23</v>
      </c>
      <c r="C243" t="s">
        <v>224</v>
      </c>
      <c r="F243" s="17"/>
      <c r="H243" s="13">
        <f t="shared" ref="H243:V243" si="74">H79-H161</f>
        <v>0</v>
      </c>
      <c r="I243" s="13">
        <f t="shared" si="74"/>
        <v>1.0482561330403257</v>
      </c>
      <c r="J243" s="13">
        <f t="shared" si="74"/>
        <v>0.31279715011002196</v>
      </c>
      <c r="K243" s="13">
        <f t="shared" si="74"/>
        <v>-0.36725033342726476</v>
      </c>
      <c r="L243" s="13">
        <f t="shared" si="74"/>
        <v>-1.0326807379205647</v>
      </c>
      <c r="M243" s="13">
        <f t="shared" si="74"/>
        <v>-1.5365752001224848</v>
      </c>
      <c r="N243" s="13">
        <f t="shared" si="74"/>
        <v>-2.6018065056933679</v>
      </c>
      <c r="O243" s="13">
        <f t="shared" si="74"/>
        <v>-3.0796331625983697</v>
      </c>
      <c r="P243" s="13">
        <f t="shared" si="74"/>
        <v>-3.5793032813674728</v>
      </c>
      <c r="Q243" s="13">
        <f t="shared" si="74"/>
        <v>-4.0925657568259126</v>
      </c>
      <c r="R243" s="13">
        <f t="shared" si="74"/>
        <v>-4.599740768399684</v>
      </c>
      <c r="S243" s="13">
        <f t="shared" si="74"/>
        <v>-5.1077442256581378</v>
      </c>
      <c r="T243" s="13">
        <f t="shared" si="74"/>
        <v>-5.6058871117316613</v>
      </c>
      <c r="U243" s="13">
        <f t="shared" si="74"/>
        <v>-6.0989849375817897</v>
      </c>
      <c r="V243" s="13">
        <f t="shared" si="74"/>
        <v>-6.5885277038862071</v>
      </c>
    </row>
    <row r="244" spans="1:22" x14ac:dyDescent="0.3">
      <c r="A244" t="s">
        <v>128</v>
      </c>
      <c r="B244" t="s">
        <v>3</v>
      </c>
      <c r="C244" t="s">
        <v>221</v>
      </c>
      <c r="F244" s="17"/>
      <c r="H244" s="13">
        <f t="shared" ref="H244:V244" si="75">H80-H162</f>
        <v>0</v>
      </c>
      <c r="I244" s="13">
        <f t="shared" si="75"/>
        <v>-0.2394666478171672</v>
      </c>
      <c r="J244" s="13">
        <f t="shared" si="75"/>
        <v>-0.49406971908608721</v>
      </c>
      <c r="K244" s="13">
        <f t="shared" si="75"/>
        <v>-0.66441880567747447</v>
      </c>
      <c r="L244" s="13">
        <f t="shared" si="75"/>
        <v>-0.85461109131447888</v>
      </c>
      <c r="M244" s="13">
        <f t="shared" si="75"/>
        <v>-1.0514474082036482</v>
      </c>
      <c r="N244" s="13">
        <f t="shared" si="75"/>
        <v>-1.3126277866784832</v>
      </c>
      <c r="O244" s="13">
        <f t="shared" si="75"/>
        <v>-1.4412347540775574</v>
      </c>
      <c r="P244" s="13">
        <f t="shared" si="75"/>
        <v>-1.5706921248730961</v>
      </c>
      <c r="Q244" s="13">
        <f t="shared" si="75"/>
        <v>-1.7016665605037984</v>
      </c>
      <c r="R244" s="13">
        <f t="shared" si="75"/>
        <v>-1.8337675843403858</v>
      </c>
      <c r="S244" s="13">
        <f t="shared" si="75"/>
        <v>-1.967575699121527</v>
      </c>
      <c r="T244" s="13">
        <f t="shared" si="75"/>
        <v>-2.1029090524111869</v>
      </c>
      <c r="U244" s="13">
        <f t="shared" si="75"/>
        <v>-2.2398112462839999</v>
      </c>
      <c r="V244" s="13">
        <f t="shared" si="75"/>
        <v>-2.3788829491309231</v>
      </c>
    </row>
    <row r="245" spans="1:22" x14ac:dyDescent="0.3">
      <c r="A245" t="s">
        <v>188</v>
      </c>
      <c r="B245" t="s">
        <v>56</v>
      </c>
      <c r="C245" t="s">
        <v>224</v>
      </c>
      <c r="F245" s="17"/>
      <c r="H245" s="13">
        <f t="shared" ref="H245:V245" si="76">H81-H163</f>
        <v>0</v>
      </c>
      <c r="I245" s="13">
        <f t="shared" si="76"/>
        <v>4.6585203890015876</v>
      </c>
      <c r="J245" s="13">
        <f t="shared" si="76"/>
        <v>4.4212668725951332</v>
      </c>
      <c r="K245" s="13">
        <f t="shared" si="76"/>
        <v>4.5955876448101876</v>
      </c>
      <c r="L245" s="13">
        <f t="shared" si="76"/>
        <v>4.2097274612731468</v>
      </c>
      <c r="M245" s="13">
        <f t="shared" si="76"/>
        <v>4.3748473914887356</v>
      </c>
      <c r="N245" s="13">
        <f t="shared" si="76"/>
        <v>3.3318206749795962</v>
      </c>
      <c r="O245" s="13">
        <f t="shared" si="76"/>
        <v>2.7522480054484291</v>
      </c>
      <c r="P245" s="13">
        <f t="shared" si="76"/>
        <v>2.1395933581157323</v>
      </c>
      <c r="Q245" s="13">
        <f t="shared" si="76"/>
        <v>1.5176385170784528</v>
      </c>
      <c r="R245" s="13">
        <f t="shared" si="76"/>
        <v>0.91093126549213821</v>
      </c>
      <c r="S245" s="13">
        <f t="shared" si="76"/>
        <v>0.28728228208616002</v>
      </c>
      <c r="T245" s="13">
        <f t="shared" si="76"/>
        <v>-0.35720896188293239</v>
      </c>
      <c r="U245" s="13">
        <f t="shared" si="76"/>
        <v>-1.0330584006269916</v>
      </c>
      <c r="V245" s="13">
        <f t="shared" si="76"/>
        <v>-1.7520551459888694</v>
      </c>
    </row>
    <row r="246" spans="1:22" x14ac:dyDescent="0.3">
      <c r="A246" t="s">
        <v>146</v>
      </c>
      <c r="B246" t="s">
        <v>23</v>
      </c>
      <c r="C246" t="s">
        <v>222</v>
      </c>
      <c r="F246" s="17"/>
      <c r="H246" s="13">
        <f t="shared" ref="H246:V246" si="77">H82-H164</f>
        <v>0</v>
      </c>
      <c r="I246" s="13">
        <f t="shared" si="77"/>
        <v>-1.7006355850368173</v>
      </c>
      <c r="J246" s="13">
        <f t="shared" si="77"/>
        <v>-2.4436089339120972</v>
      </c>
      <c r="K246" s="13">
        <f t="shared" si="77"/>
        <v>-3.2728418875139074</v>
      </c>
      <c r="L246" s="13">
        <f t="shared" si="77"/>
        <v>-3.9542976393388578</v>
      </c>
      <c r="M246" s="13">
        <f t="shared" si="77"/>
        <v>-4.3466609891020518</v>
      </c>
      <c r="N246" s="13">
        <f t="shared" si="77"/>
        <v>-4.7266738940992585</v>
      </c>
      <c r="O246" s="13">
        <f t="shared" si="77"/>
        <v>-4.8168449177598855</v>
      </c>
      <c r="P246" s="13">
        <f t="shared" si="77"/>
        <v>-4.9024711284075533</v>
      </c>
      <c r="Q246" s="13">
        <f t="shared" si="77"/>
        <v>-4.9780293541239136</v>
      </c>
      <c r="R246" s="13">
        <f t="shared" si="77"/>
        <v>-5.0454077919693407</v>
      </c>
      <c r="S246" s="13">
        <f t="shared" si="77"/>
        <v>-5.1045302206169687</v>
      </c>
      <c r="T246" s="13">
        <f t="shared" si="77"/>
        <v>-5.1613165551359081</v>
      </c>
      <c r="U246" s="13">
        <f t="shared" si="77"/>
        <v>-5.2139632619048655</v>
      </c>
      <c r="V246" s="13">
        <f t="shared" si="77"/>
        <v>-5.2670591136091875</v>
      </c>
    </row>
    <row r="247" spans="1:22" x14ac:dyDescent="0.3">
      <c r="A247" t="s">
        <v>129</v>
      </c>
      <c r="B247" t="s">
        <v>3</v>
      </c>
      <c r="C247" t="s">
        <v>224</v>
      </c>
      <c r="F247" s="17"/>
      <c r="H247" s="13">
        <f t="shared" ref="H247:V247" si="78">H83-H165</f>
        <v>0</v>
      </c>
      <c r="I247" s="13">
        <f t="shared" si="78"/>
        <v>-0.73694220737930749</v>
      </c>
      <c r="J247" s="13">
        <f t="shared" si="78"/>
        <v>-0.61896875991686073</v>
      </c>
      <c r="K247" s="13">
        <f t="shared" si="78"/>
        <v>-0.47603983903534797</v>
      </c>
      <c r="L247" s="13">
        <f t="shared" si="78"/>
        <v>-0.39052736440610403</v>
      </c>
      <c r="M247" s="13">
        <f t="shared" si="78"/>
        <v>-6.9139455074367362E-2</v>
      </c>
      <c r="N247" s="13">
        <f t="shared" si="78"/>
        <v>-2.8777998880762823E-2</v>
      </c>
      <c r="O247" s="13">
        <f t="shared" si="78"/>
        <v>0.22944069737652129</v>
      </c>
      <c r="P247" s="13">
        <f t="shared" si="78"/>
        <v>0.47131109080644151</v>
      </c>
      <c r="Q247" s="13">
        <f t="shared" si="78"/>
        <v>0.69869451127851079</v>
      </c>
      <c r="R247" s="13">
        <f t="shared" si="78"/>
        <v>0.92117095354998213</v>
      </c>
      <c r="S247" s="13">
        <f t="shared" si="78"/>
        <v>1.1324084072235401</v>
      </c>
      <c r="T247" s="13">
        <f t="shared" si="78"/>
        <v>1.3332139566311767</v>
      </c>
      <c r="U247" s="13">
        <f t="shared" si="78"/>
        <v>1.5246373443083918</v>
      </c>
      <c r="V247" s="13">
        <f t="shared" si="78"/>
        <v>1.7075233360570579</v>
      </c>
    </row>
    <row r="248" spans="1:22" x14ac:dyDescent="0.3">
      <c r="A248" t="s">
        <v>189</v>
      </c>
      <c r="B248" t="s">
        <v>56</v>
      </c>
      <c r="C248" t="s">
        <v>221</v>
      </c>
      <c r="F248" s="17"/>
      <c r="H248" s="13">
        <f t="shared" ref="H248:V248" si="79">H84-H166</f>
        <v>0</v>
      </c>
      <c r="I248" s="13">
        <f t="shared" si="79"/>
        <v>-0.54781878527812156</v>
      </c>
      <c r="J248" s="13">
        <f t="shared" si="79"/>
        <v>-1.7500674209796772</v>
      </c>
      <c r="K248" s="13">
        <f t="shared" si="79"/>
        <v>-2.5567519921936039</v>
      </c>
      <c r="L248" s="13">
        <f t="shared" si="79"/>
        <v>-2.5724407522817678</v>
      </c>
      <c r="M248" s="13">
        <f t="shared" si="79"/>
        <v>-2.5656014492775308</v>
      </c>
      <c r="N248" s="13">
        <f t="shared" si="79"/>
        <v>-2.5344274673182712</v>
      </c>
      <c r="O248" s="13">
        <f t="shared" si="79"/>
        <v>-2.4937783157986289</v>
      </c>
      <c r="P248" s="13">
        <f t="shared" si="79"/>
        <v>-2.4538345323309931</v>
      </c>
      <c r="Q248" s="13">
        <f t="shared" si="79"/>
        <v>-2.4143434080240187</v>
      </c>
      <c r="R248" s="13">
        <f t="shared" si="79"/>
        <v>-2.3751641553980924</v>
      </c>
      <c r="S248" s="13">
        <f t="shared" si="79"/>
        <v>-2.3362983771179353</v>
      </c>
      <c r="T248" s="13">
        <f t="shared" si="79"/>
        <v>-2.2977899831000981</v>
      </c>
      <c r="U248" s="13">
        <f t="shared" si="79"/>
        <v>-2.259418268213091</v>
      </c>
      <c r="V248" s="13">
        <f t="shared" si="79"/>
        <v>-2.2209806636542142</v>
      </c>
    </row>
    <row r="249" spans="1:22" x14ac:dyDescent="0.3"/>
    <row r="250" spans="1:22" x14ac:dyDescent="0.3"/>
  </sheetData>
  <sheetProtection algorithmName="SHA-512" hashValue="2o4/YErhaoZ3Uuqtp41GuzJw/vEZbHWPPB3nv9blIch60pw0uLSss1KRT24ozebvT1BdJtXjYntgKWTIYnBGmg==" saltValue="tmgdM8k6psUjv0bMonnKog==" spinCount="100000" sheet="1" objects="1" scenarios="1"/>
  <protectedRanges>
    <protectedRange sqref="H6:V84 H88:V166" name="Edits"/>
  </protectedRanges>
  <conditionalFormatting sqref="H170:V248">
    <cfRule type="cellIs" dxfId="13" priority="1" operator="lessThan">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S485"/>
  <sheetViews>
    <sheetView showGridLines="0" topLeftCell="X1" zoomScaleNormal="100" workbookViewId="0">
      <selection activeCell="A106" sqref="A106:K106"/>
    </sheetView>
  </sheetViews>
  <sheetFormatPr defaultColWidth="0" defaultRowHeight="14" zeroHeight="1" x14ac:dyDescent="0.3"/>
  <cols>
    <col min="1" max="2" width="9.09765625" customWidth="1"/>
    <col min="3" max="3" width="25.296875" bestFit="1" customWidth="1"/>
    <col min="4" max="4" width="5" bestFit="1" customWidth="1"/>
    <col min="5" max="5" width="12" customWidth="1"/>
    <col min="6" max="22" width="5" bestFit="1" customWidth="1"/>
    <col min="23" max="23" width="10.3984375" bestFit="1" customWidth="1"/>
    <col min="24" max="29" width="9.09765625" customWidth="1"/>
    <col min="30" max="30" width="21.3984375" bestFit="1" customWidth="1"/>
    <col min="31" max="50" width="9.09765625" customWidth="1"/>
    <col min="51" max="51" width="21.3984375" bestFit="1" customWidth="1"/>
    <col min="52" max="97" width="9.09765625" customWidth="1"/>
    <col min="98" max="16384" width="9.09765625" hidden="1"/>
  </cols>
  <sheetData>
    <row r="1" spans="1:96" s="1" customFormat="1" ht="20.25" thickBot="1" x14ac:dyDescent="0.35">
      <c r="A1" s="1" t="s">
        <v>331</v>
      </c>
      <c r="Y1" s="1" t="s">
        <v>424</v>
      </c>
      <c r="AX1" s="1" t="s">
        <v>415</v>
      </c>
    </row>
    <row r="2" spans="1:96" ht="17.25" thickTop="1" x14ac:dyDescent="0.3">
      <c r="A2" s="3"/>
    </row>
    <row r="3" spans="1:96" ht="16.5" x14ac:dyDescent="0.3"/>
    <row r="4" spans="1:96" ht="20.25" thickBot="1" x14ac:dyDescent="0.35">
      <c r="Y4" s="1" t="s">
        <v>382</v>
      </c>
    </row>
    <row r="5" spans="1:96" ht="17.25" thickTop="1" x14ac:dyDescent="0.3"/>
    <row r="6" spans="1:96" ht="16.5" x14ac:dyDescent="0.3">
      <c r="G6" s="3"/>
    </row>
    <row r="7" spans="1:96" ht="16.5" x14ac:dyDescent="0.3">
      <c r="D7" s="18" t="s">
        <v>94</v>
      </c>
      <c r="F7" s="37">
        <f>baseline-2</f>
        <v>2015</v>
      </c>
      <c r="G7" s="37">
        <f>F7+1</f>
        <v>2016</v>
      </c>
      <c r="H7" s="37">
        <f t="shared" ref="H7:V7" si="0">G7+1</f>
        <v>2017</v>
      </c>
      <c r="I7" s="37">
        <f t="shared" si="0"/>
        <v>2018</v>
      </c>
      <c r="J7" s="37">
        <f t="shared" si="0"/>
        <v>2019</v>
      </c>
      <c r="K7" s="37">
        <f t="shared" si="0"/>
        <v>2020</v>
      </c>
      <c r="L7" s="37">
        <f t="shared" si="0"/>
        <v>2021</v>
      </c>
      <c r="M7" s="37">
        <f t="shared" si="0"/>
        <v>2022</v>
      </c>
      <c r="N7" s="37">
        <f t="shared" si="0"/>
        <v>2023</v>
      </c>
      <c r="O7" s="37">
        <f t="shared" si="0"/>
        <v>2024</v>
      </c>
      <c r="P7" s="37">
        <f t="shared" si="0"/>
        <v>2025</v>
      </c>
      <c r="Q7" s="37">
        <f t="shared" si="0"/>
        <v>2026</v>
      </c>
      <c r="R7" s="37">
        <f t="shared" si="0"/>
        <v>2027</v>
      </c>
      <c r="S7" s="37">
        <f t="shared" si="0"/>
        <v>2028</v>
      </c>
      <c r="T7" s="37">
        <f t="shared" si="0"/>
        <v>2029</v>
      </c>
      <c r="U7" s="37">
        <f t="shared" si="0"/>
        <v>2030</v>
      </c>
      <c r="V7" s="37">
        <f t="shared" si="0"/>
        <v>2031</v>
      </c>
      <c r="Y7" s="4"/>
      <c r="AE7" s="3" t="str">
        <f>CALCS!C$62</f>
        <v>2017-18</v>
      </c>
      <c r="AF7" s="3" t="str">
        <f>CALCS!D$62</f>
        <v>2018-19</v>
      </c>
      <c r="AG7" s="3" t="str">
        <f>CALCS!E$62</f>
        <v>2019-20</v>
      </c>
      <c r="AH7" s="3" t="str">
        <f>CALCS!F$62</f>
        <v>2020-21</v>
      </c>
      <c r="AI7" s="3" t="str">
        <f>CALCS!G$62</f>
        <v>2021-22</v>
      </c>
      <c r="AJ7" s="3" t="str">
        <f>CALCS!H$62</f>
        <v>2022-23</v>
      </c>
      <c r="AK7" s="3" t="str">
        <f>CALCS!I$62</f>
        <v>2023-24</v>
      </c>
      <c r="AL7" s="3" t="str">
        <f>CALCS!J$62</f>
        <v>2024-25</v>
      </c>
      <c r="AM7" s="3" t="str">
        <f>CALCS!K$62</f>
        <v>2025-26</v>
      </c>
      <c r="AN7" s="3" t="str">
        <f>CALCS!L$62</f>
        <v>2026-27</v>
      </c>
      <c r="AO7" s="3" t="str">
        <f>CALCS!M$62</f>
        <v>2027-28</v>
      </c>
      <c r="AP7" s="3" t="str">
        <f>CALCS!N$62</f>
        <v>2028-29</v>
      </c>
      <c r="AQ7" s="3" t="str">
        <f>CALCS!O$62</f>
        <v>2029-30</v>
      </c>
      <c r="AR7" s="3" t="str">
        <f>CALCS!P$62</f>
        <v>2030-31</v>
      </c>
      <c r="AS7" s="3" t="str">
        <f>CALCS!Q$62</f>
        <v>2031-32</v>
      </c>
      <c r="AU7" s="3" t="s">
        <v>324</v>
      </c>
      <c r="AZ7" t="s">
        <v>211</v>
      </c>
      <c r="BA7" t="s">
        <v>212</v>
      </c>
      <c r="BB7" t="s">
        <v>213</v>
      </c>
      <c r="BC7" t="s">
        <v>211</v>
      </c>
      <c r="BD7" t="s">
        <v>212</v>
      </c>
      <c r="BE7" t="s">
        <v>213</v>
      </c>
      <c r="BF7" t="s">
        <v>211</v>
      </c>
      <c r="BG7" t="s">
        <v>212</v>
      </c>
      <c r="BH7" t="s">
        <v>213</v>
      </c>
      <c r="BI7" t="s">
        <v>211</v>
      </c>
      <c r="BJ7" t="s">
        <v>212</v>
      </c>
      <c r="BK7" t="s">
        <v>213</v>
      </c>
      <c r="BL7" t="s">
        <v>211</v>
      </c>
      <c r="BM7" t="s">
        <v>212</v>
      </c>
      <c r="BN7" t="s">
        <v>213</v>
      </c>
      <c r="BO7" t="s">
        <v>211</v>
      </c>
      <c r="BP7" t="s">
        <v>212</v>
      </c>
      <c r="BQ7" t="s">
        <v>213</v>
      </c>
      <c r="BR7" t="s">
        <v>211</v>
      </c>
      <c r="BS7" t="s">
        <v>212</v>
      </c>
      <c r="BT7" t="s">
        <v>213</v>
      </c>
      <c r="BU7" t="s">
        <v>211</v>
      </c>
      <c r="BV7" t="s">
        <v>212</v>
      </c>
      <c r="BW7" t="s">
        <v>213</v>
      </c>
      <c r="BX7" t="s">
        <v>211</v>
      </c>
      <c r="BY7" t="s">
        <v>212</v>
      </c>
      <c r="BZ7" t="s">
        <v>213</v>
      </c>
      <c r="CA7" t="s">
        <v>211</v>
      </c>
      <c r="CB7" t="s">
        <v>212</v>
      </c>
      <c r="CC7" t="s">
        <v>213</v>
      </c>
      <c r="CD7" t="s">
        <v>211</v>
      </c>
      <c r="CE7" t="s">
        <v>212</v>
      </c>
      <c r="CF7" t="s">
        <v>213</v>
      </c>
      <c r="CG7" t="s">
        <v>211</v>
      </c>
      <c r="CH7" t="s">
        <v>212</v>
      </c>
      <c r="CI7" t="s">
        <v>213</v>
      </c>
      <c r="CJ7" t="s">
        <v>211</v>
      </c>
      <c r="CK7" t="s">
        <v>212</v>
      </c>
      <c r="CL7" t="s">
        <v>213</v>
      </c>
      <c r="CM7" t="s">
        <v>211</v>
      </c>
      <c r="CN7" t="s">
        <v>212</v>
      </c>
      <c r="CO7" t="s">
        <v>213</v>
      </c>
      <c r="CP7" t="s">
        <v>211</v>
      </c>
      <c r="CQ7" t="s">
        <v>212</v>
      </c>
      <c r="CR7" t="s">
        <v>213</v>
      </c>
    </row>
    <row r="8" spans="1:96" ht="16.5" x14ac:dyDescent="0.3">
      <c r="A8" s="3" t="str">
        <f>INDEX(Mapping!$Y:$Y,MATCH($C8,Mapping!$W:$W,0))</f>
        <v>Rural</v>
      </c>
      <c r="B8" s="3" t="str">
        <f>INDEX(Mapping!$V:$V,MATCH(C8,Mapping!$W:$W,0))</f>
        <v>NEV</v>
      </c>
      <c r="C8" t="s">
        <v>111</v>
      </c>
      <c r="D8">
        <v>0</v>
      </c>
      <c r="E8" s="20"/>
      <c r="F8" s="76">
        <v>86.056338028169023</v>
      </c>
      <c r="G8" s="76">
        <v>86.350547730829433</v>
      </c>
      <c r="H8" s="76">
        <v>81.348982785602516</v>
      </c>
      <c r="I8" s="76">
        <v>84.116985831251185</v>
      </c>
      <c r="J8" s="76">
        <v>84.07478416579012</v>
      </c>
      <c r="K8" s="76">
        <v>84.060483119507595</v>
      </c>
      <c r="L8" s="76">
        <v>84.082626586849557</v>
      </c>
      <c r="M8" s="76">
        <v>84.129474347964006</v>
      </c>
      <c r="N8" s="76">
        <v>84.230210939286422</v>
      </c>
      <c r="O8" s="76">
        <v>84.334653688007435</v>
      </c>
      <c r="P8" s="76">
        <v>84.434546479108533</v>
      </c>
      <c r="Q8" s="76">
        <v>84.530707001592319</v>
      </c>
      <c r="R8" s="76">
        <v>84.626859118405804</v>
      </c>
      <c r="S8" s="76">
        <v>84.730761450489865</v>
      </c>
      <c r="T8" s="76">
        <v>84.845071617319348</v>
      </c>
      <c r="U8" s="76">
        <v>84.970507989124144</v>
      </c>
      <c r="V8" s="76">
        <v>85.088864991974887</v>
      </c>
      <c r="AC8" s="18" t="s">
        <v>94</v>
      </c>
      <c r="AD8" s="18"/>
      <c r="AE8" s="12">
        <f>baseline</f>
        <v>2017</v>
      </c>
      <c r="AF8" s="12">
        <f>AE8+1</f>
        <v>2018</v>
      </c>
      <c r="AG8" s="12">
        <f t="shared" ref="AG8:AS8" si="1">AF8+1</f>
        <v>2019</v>
      </c>
      <c r="AH8" s="12">
        <f t="shared" si="1"/>
        <v>2020</v>
      </c>
      <c r="AI8" s="12">
        <f t="shared" si="1"/>
        <v>2021</v>
      </c>
      <c r="AJ8" s="12">
        <f t="shared" si="1"/>
        <v>2022</v>
      </c>
      <c r="AK8" s="12">
        <f t="shared" si="1"/>
        <v>2023</v>
      </c>
      <c r="AL8" s="12">
        <f t="shared" si="1"/>
        <v>2024</v>
      </c>
      <c r="AM8" s="12">
        <f t="shared" si="1"/>
        <v>2025</v>
      </c>
      <c r="AN8" s="12">
        <f t="shared" si="1"/>
        <v>2026</v>
      </c>
      <c r="AO8" s="12">
        <f t="shared" si="1"/>
        <v>2027</v>
      </c>
      <c r="AP8" s="12">
        <f t="shared" si="1"/>
        <v>2028</v>
      </c>
      <c r="AQ8" s="12">
        <f t="shared" si="1"/>
        <v>2029</v>
      </c>
      <c r="AR8" s="12">
        <f t="shared" si="1"/>
        <v>2030</v>
      </c>
      <c r="AS8" s="12">
        <f t="shared" si="1"/>
        <v>2031</v>
      </c>
      <c r="AU8" s="12">
        <f>baseline</f>
        <v>2017</v>
      </c>
      <c r="AZ8" s="12">
        <f>baseline+1</f>
        <v>2018</v>
      </c>
      <c r="BA8" s="12">
        <f>baseline+1</f>
        <v>2018</v>
      </c>
      <c r="BB8" s="12">
        <f>baseline+1</f>
        <v>2018</v>
      </c>
      <c r="BC8" s="12">
        <f>AZ8+1</f>
        <v>2019</v>
      </c>
      <c r="BD8" s="12">
        <f t="shared" ref="BD8:CR8" si="2">BA8+1</f>
        <v>2019</v>
      </c>
      <c r="BE8" s="12">
        <f t="shared" si="2"/>
        <v>2019</v>
      </c>
      <c r="BF8" s="12">
        <f t="shared" si="2"/>
        <v>2020</v>
      </c>
      <c r="BG8" s="12">
        <f t="shared" si="2"/>
        <v>2020</v>
      </c>
      <c r="BH8" s="12">
        <f t="shared" si="2"/>
        <v>2020</v>
      </c>
      <c r="BI8" s="12">
        <f t="shared" si="2"/>
        <v>2021</v>
      </c>
      <c r="BJ8" s="12">
        <f t="shared" si="2"/>
        <v>2021</v>
      </c>
      <c r="BK8" s="12">
        <f t="shared" si="2"/>
        <v>2021</v>
      </c>
      <c r="BL8" s="12">
        <f t="shared" si="2"/>
        <v>2022</v>
      </c>
      <c r="BM8" s="12">
        <f t="shared" si="2"/>
        <v>2022</v>
      </c>
      <c r="BN8" s="12">
        <f t="shared" si="2"/>
        <v>2022</v>
      </c>
      <c r="BO8" s="12">
        <f t="shared" si="2"/>
        <v>2023</v>
      </c>
      <c r="BP8" s="12">
        <f t="shared" si="2"/>
        <v>2023</v>
      </c>
      <c r="BQ8" s="12">
        <f t="shared" si="2"/>
        <v>2023</v>
      </c>
      <c r="BR8" s="12">
        <f t="shared" si="2"/>
        <v>2024</v>
      </c>
      <c r="BS8" s="12">
        <f t="shared" si="2"/>
        <v>2024</v>
      </c>
      <c r="BT8" s="12">
        <f t="shared" si="2"/>
        <v>2024</v>
      </c>
      <c r="BU8" s="12">
        <f t="shared" si="2"/>
        <v>2025</v>
      </c>
      <c r="BV8" s="12">
        <f t="shared" si="2"/>
        <v>2025</v>
      </c>
      <c r="BW8" s="12">
        <f t="shared" si="2"/>
        <v>2025</v>
      </c>
      <c r="BX8" s="12">
        <f t="shared" si="2"/>
        <v>2026</v>
      </c>
      <c r="BY8" s="12">
        <f t="shared" si="2"/>
        <v>2026</v>
      </c>
      <c r="BZ8" s="12">
        <f t="shared" si="2"/>
        <v>2026</v>
      </c>
      <c r="CA8" s="12">
        <f t="shared" si="2"/>
        <v>2027</v>
      </c>
      <c r="CB8" s="12">
        <f t="shared" si="2"/>
        <v>2027</v>
      </c>
      <c r="CC8" s="12">
        <f t="shared" si="2"/>
        <v>2027</v>
      </c>
      <c r="CD8" s="12">
        <f t="shared" si="2"/>
        <v>2028</v>
      </c>
      <c r="CE8" s="12">
        <f t="shared" si="2"/>
        <v>2028</v>
      </c>
      <c r="CF8" s="12">
        <f t="shared" si="2"/>
        <v>2028</v>
      </c>
      <c r="CG8" s="12">
        <f t="shared" si="2"/>
        <v>2029</v>
      </c>
      <c r="CH8" s="12">
        <f t="shared" si="2"/>
        <v>2029</v>
      </c>
      <c r="CI8" s="12">
        <f t="shared" si="2"/>
        <v>2029</v>
      </c>
      <c r="CJ8" s="12">
        <f t="shared" si="2"/>
        <v>2030</v>
      </c>
      <c r="CK8" s="12">
        <f t="shared" si="2"/>
        <v>2030</v>
      </c>
      <c r="CL8" s="12">
        <f t="shared" si="2"/>
        <v>2030</v>
      </c>
      <c r="CM8" s="12">
        <f t="shared" si="2"/>
        <v>2031</v>
      </c>
      <c r="CN8" s="12">
        <f t="shared" si="2"/>
        <v>2031</v>
      </c>
      <c r="CO8" s="12">
        <f t="shared" si="2"/>
        <v>2031</v>
      </c>
      <c r="CP8" s="12">
        <f t="shared" si="2"/>
        <v>2032</v>
      </c>
      <c r="CQ8" s="12">
        <f t="shared" si="2"/>
        <v>2032</v>
      </c>
      <c r="CR8" s="12">
        <f t="shared" si="2"/>
        <v>2032</v>
      </c>
    </row>
    <row r="9" spans="1:96" ht="16.5" x14ac:dyDescent="0.3">
      <c r="A9" s="3" t="str">
        <f>INDEX(Mapping!$Y:$Y,MATCH($C9,Mapping!$W:$W,0))</f>
        <v>Rural</v>
      </c>
      <c r="B9" s="3" t="str">
        <f>INDEX(Mapping!$V:$V,MATCH(C9,Mapping!$W:$W,0))</f>
        <v>NEV</v>
      </c>
      <c r="C9" t="s">
        <v>111</v>
      </c>
      <c r="D9">
        <v>1</v>
      </c>
      <c r="E9" s="20"/>
      <c r="F9" s="76">
        <v>92.464788732394368</v>
      </c>
      <c r="G9" s="76">
        <v>92.78090766823162</v>
      </c>
      <c r="H9" s="76">
        <v>87.406885758998442</v>
      </c>
      <c r="I9" s="76">
        <v>81.348982785602516</v>
      </c>
      <c r="J9" s="76">
        <v>84.116985831251185</v>
      </c>
      <c r="K9" s="76">
        <v>84.07478416579012</v>
      </c>
      <c r="L9" s="76">
        <v>84.060483119507595</v>
      </c>
      <c r="M9" s="76">
        <v>84.082626586849557</v>
      </c>
      <c r="N9" s="76">
        <v>84.129474347964006</v>
      </c>
      <c r="O9" s="76">
        <v>84.230210939286422</v>
      </c>
      <c r="P9" s="76">
        <v>84.334653688007435</v>
      </c>
      <c r="Q9" s="76">
        <v>84.434546479108533</v>
      </c>
      <c r="R9" s="76">
        <v>84.530707001592319</v>
      </c>
      <c r="S9" s="76">
        <v>84.626859118405804</v>
      </c>
      <c r="T9" s="76">
        <v>84.730761450489865</v>
      </c>
      <c r="U9" s="76">
        <v>84.845071617319348</v>
      </c>
      <c r="V9" s="76">
        <v>84.970507989124144</v>
      </c>
      <c r="Y9" s="3">
        <v>5</v>
      </c>
      <c r="Z9" s="3">
        <v>20</v>
      </c>
      <c r="AA9" s="3" t="s">
        <v>103</v>
      </c>
      <c r="AB9" s="3" t="s">
        <v>89</v>
      </c>
      <c r="AC9" s="18">
        <v>25</v>
      </c>
      <c r="AE9" s="91">
        <v>10.859724367834783</v>
      </c>
      <c r="AF9" s="91">
        <v>3.4</v>
      </c>
      <c r="AG9" s="91">
        <v>3.4</v>
      </c>
      <c r="AH9" s="91">
        <v>3.4</v>
      </c>
      <c r="AI9" s="91">
        <v>3.4</v>
      </c>
      <c r="AJ9" s="91">
        <v>3.4</v>
      </c>
      <c r="AK9" s="91">
        <v>3.4</v>
      </c>
      <c r="AL9" s="91">
        <v>3.4</v>
      </c>
      <c r="AM9" s="91">
        <v>3.4</v>
      </c>
      <c r="AN9" s="91">
        <v>3.4</v>
      </c>
      <c r="AO9" s="91">
        <v>3.4</v>
      </c>
      <c r="AP9" s="91">
        <v>3.4</v>
      </c>
      <c r="AQ9" s="91">
        <v>3.4</v>
      </c>
      <c r="AR9" s="91">
        <v>3.4</v>
      </c>
      <c r="AS9" s="91">
        <v>3.4</v>
      </c>
      <c r="AU9" s="109">
        <f>SUMIFS(CALCS!$J$10:$J$14,CALCS!$H$10:$H$14,$AB9)/$Z9</f>
        <v>10.859724367834785</v>
      </c>
      <c r="AX9" s="3" t="s">
        <v>221</v>
      </c>
      <c r="AY9" t="s">
        <v>111</v>
      </c>
      <c r="AZ9" s="92">
        <v>0.99999999999999978</v>
      </c>
      <c r="BA9" s="92">
        <v>5.8143322475570027</v>
      </c>
      <c r="BB9" s="92">
        <v>0</v>
      </c>
      <c r="BC9" s="92">
        <v>0.99999999999999978</v>
      </c>
      <c r="BD9" s="92">
        <v>8.6476655808903349</v>
      </c>
      <c r="BE9" s="92">
        <v>4.3238327904451674</v>
      </c>
      <c r="BF9" s="92">
        <v>0.99999999999999978</v>
      </c>
      <c r="BG9" s="92">
        <v>8.6476655808903349</v>
      </c>
      <c r="BH9" s="92">
        <v>8.6476655808903349</v>
      </c>
      <c r="BI9" s="92">
        <v>0.99999999999999978</v>
      </c>
      <c r="BJ9" s="92">
        <v>8.6476655808903349</v>
      </c>
      <c r="BK9" s="92">
        <v>8.6476655808903349</v>
      </c>
      <c r="BL9" s="92">
        <v>0.99999999999999978</v>
      </c>
      <c r="BM9" s="92">
        <v>8.6476655808903349</v>
      </c>
      <c r="BN9" s="92">
        <v>8.6476655808903349</v>
      </c>
      <c r="BO9" s="92">
        <v>0.99999999999999978</v>
      </c>
      <c r="BP9" s="92">
        <v>8.6476655808903349</v>
      </c>
      <c r="BQ9" s="92">
        <v>8.6476655808903349</v>
      </c>
      <c r="BR9" s="92">
        <v>0.99999999999999978</v>
      </c>
      <c r="BS9" s="92">
        <v>8.6476655808903349</v>
      </c>
      <c r="BT9" s="92">
        <v>8.6476655808903349</v>
      </c>
      <c r="BU9" s="92">
        <v>0.99999999999999978</v>
      </c>
      <c r="BV9" s="92">
        <v>8.6476655808903349</v>
      </c>
      <c r="BW9" s="92">
        <v>8.6476655808903349</v>
      </c>
      <c r="BX9" s="92">
        <v>0.99999999999999978</v>
      </c>
      <c r="BY9" s="92">
        <v>8.6476655808903349</v>
      </c>
      <c r="BZ9" s="92">
        <v>8.6476655808903349</v>
      </c>
      <c r="CA9" s="92">
        <v>0.99999999999999978</v>
      </c>
      <c r="CB9" s="92">
        <v>8.6476655808903349</v>
      </c>
      <c r="CC9" s="92">
        <v>8.6476655808903349</v>
      </c>
      <c r="CD9" s="92">
        <v>0.99999999999999978</v>
      </c>
      <c r="CE9" s="92">
        <v>8.6476655808903349</v>
      </c>
      <c r="CF9" s="92">
        <v>8.6476655808903349</v>
      </c>
      <c r="CG9" s="92">
        <v>0.99999999999999978</v>
      </c>
      <c r="CH9" s="92">
        <v>8.6476655808903349</v>
      </c>
      <c r="CI9" s="92">
        <v>8.6476655808903349</v>
      </c>
      <c r="CJ9" s="92">
        <v>0.99999999999999978</v>
      </c>
      <c r="CK9" s="92">
        <v>8.6476655808903349</v>
      </c>
      <c r="CL9" s="92">
        <v>8.6476655808903349</v>
      </c>
      <c r="CM9" s="92">
        <v>0.99999999999999978</v>
      </c>
      <c r="CN9" s="92">
        <v>8.6476655808903349</v>
      </c>
      <c r="CO9" s="92">
        <v>8.6476655808903349</v>
      </c>
      <c r="CP9" s="92">
        <v>0.99999999999999978</v>
      </c>
      <c r="CQ9" s="92">
        <v>8.6476655808903349</v>
      </c>
      <c r="CR9" s="92">
        <v>8.6476655808903349</v>
      </c>
    </row>
    <row r="10" spans="1:96" ht="16.5" x14ac:dyDescent="0.3">
      <c r="A10" s="3" t="str">
        <f>INDEX(Mapping!$Y:$Y,MATCH($C10,Mapping!$W:$W,0))</f>
        <v>Rural</v>
      </c>
      <c r="B10" s="3" t="str">
        <f>INDEX(Mapping!$V:$V,MATCH(C10,Mapping!$W:$W,0))</f>
        <v>NEV</v>
      </c>
      <c r="C10" t="s">
        <v>111</v>
      </c>
      <c r="D10">
        <v>2</v>
      </c>
      <c r="E10" s="20"/>
      <c r="F10" s="76">
        <v>90.633802816901408</v>
      </c>
      <c r="G10" s="76">
        <v>90.943661971830977</v>
      </c>
      <c r="H10" s="76">
        <v>85.676056338028161</v>
      </c>
      <c r="I10" s="76">
        <v>87.406885758998442</v>
      </c>
      <c r="J10" s="76">
        <v>81.348982785602516</v>
      </c>
      <c r="K10" s="76">
        <v>84.116985831251185</v>
      </c>
      <c r="L10" s="76">
        <v>84.07478416579012</v>
      </c>
      <c r="M10" s="76">
        <v>84.060483119507595</v>
      </c>
      <c r="N10" s="76">
        <v>84.082626586849557</v>
      </c>
      <c r="O10" s="76">
        <v>84.129474347964006</v>
      </c>
      <c r="P10" s="76">
        <v>84.230210939286422</v>
      </c>
      <c r="Q10" s="76">
        <v>84.334653688007435</v>
      </c>
      <c r="R10" s="76">
        <v>84.434546479108533</v>
      </c>
      <c r="S10" s="76">
        <v>84.530707001592319</v>
      </c>
      <c r="T10" s="76">
        <v>84.626859118405804</v>
      </c>
      <c r="U10" s="76">
        <v>84.730761450489865</v>
      </c>
      <c r="V10" s="76">
        <v>84.845071617319348</v>
      </c>
      <c r="Y10" s="3">
        <v>5</v>
      </c>
      <c r="Z10" s="3">
        <v>20</v>
      </c>
      <c r="AA10" s="3" t="s">
        <v>103</v>
      </c>
      <c r="AB10" s="3" t="s">
        <v>89</v>
      </c>
      <c r="AC10" s="18">
        <f t="shared" ref="AC10:AC48" si="3">AC9+1</f>
        <v>26</v>
      </c>
      <c r="AE10" s="91">
        <v>10.859724367834783</v>
      </c>
      <c r="AF10" s="91">
        <v>3.4</v>
      </c>
      <c r="AG10" s="91">
        <v>3.4</v>
      </c>
      <c r="AH10" s="91">
        <v>3.4</v>
      </c>
      <c r="AI10" s="91">
        <v>3.4</v>
      </c>
      <c r="AJ10" s="91">
        <v>3.4</v>
      </c>
      <c r="AK10" s="91">
        <v>3.4</v>
      </c>
      <c r="AL10" s="91">
        <v>3.4</v>
      </c>
      <c r="AM10" s="91">
        <v>3.4</v>
      </c>
      <c r="AN10" s="91">
        <v>3.4</v>
      </c>
      <c r="AO10" s="91">
        <v>3.4</v>
      </c>
      <c r="AP10" s="91">
        <v>3.4</v>
      </c>
      <c r="AQ10" s="91">
        <v>3.4</v>
      </c>
      <c r="AR10" s="91">
        <v>3.4</v>
      </c>
      <c r="AS10" s="91">
        <v>3.4</v>
      </c>
      <c r="AU10" s="109">
        <f>SUMIFS(CALCS!$J$10:$J$14,CALCS!$H$10:$H$14,$AB10)/$Z10</f>
        <v>10.859724367834785</v>
      </c>
      <c r="AX10" s="3" t="s">
        <v>221</v>
      </c>
      <c r="AY10" t="s">
        <v>163</v>
      </c>
      <c r="AZ10" s="92">
        <v>0.99999999999999978</v>
      </c>
      <c r="BA10" s="92">
        <v>5.4587155963302747</v>
      </c>
      <c r="BB10" s="92">
        <v>0</v>
      </c>
      <c r="BC10" s="92">
        <v>0.99999999999999978</v>
      </c>
      <c r="BD10" s="92">
        <v>8.1187563710499475</v>
      </c>
      <c r="BE10" s="92">
        <v>4.0593781855249738</v>
      </c>
      <c r="BF10" s="92">
        <v>0.99999999999999978</v>
      </c>
      <c r="BG10" s="92">
        <v>8.1187563710499475</v>
      </c>
      <c r="BH10" s="92">
        <v>8.1187563710499475</v>
      </c>
      <c r="BI10" s="92">
        <v>0.99999999999999978</v>
      </c>
      <c r="BJ10" s="92">
        <v>8.1187563710499475</v>
      </c>
      <c r="BK10" s="92">
        <v>8.1187563710499475</v>
      </c>
      <c r="BL10" s="92">
        <v>0.99999999999999978</v>
      </c>
      <c r="BM10" s="92">
        <v>8.1187563710499475</v>
      </c>
      <c r="BN10" s="92">
        <v>8.1187563710499475</v>
      </c>
      <c r="BO10" s="92">
        <v>0.99999999999999978</v>
      </c>
      <c r="BP10" s="92">
        <v>8.1187563710499475</v>
      </c>
      <c r="BQ10" s="92">
        <v>8.1187563710499475</v>
      </c>
      <c r="BR10" s="92">
        <v>0.99999999999999978</v>
      </c>
      <c r="BS10" s="92">
        <v>8.1187563710499475</v>
      </c>
      <c r="BT10" s="92">
        <v>8.1187563710499475</v>
      </c>
      <c r="BU10" s="92">
        <v>0.99999999999999978</v>
      </c>
      <c r="BV10" s="92">
        <v>8.1187563710499475</v>
      </c>
      <c r="BW10" s="92">
        <v>8.1187563710499475</v>
      </c>
      <c r="BX10" s="92">
        <v>0.99999999999999978</v>
      </c>
      <c r="BY10" s="92">
        <v>8.1187563710499475</v>
      </c>
      <c r="BZ10" s="92">
        <v>8.1187563710499475</v>
      </c>
      <c r="CA10" s="92">
        <v>0.99999999999999978</v>
      </c>
      <c r="CB10" s="92">
        <v>8.1187563710499475</v>
      </c>
      <c r="CC10" s="92">
        <v>8.1187563710499475</v>
      </c>
      <c r="CD10" s="92">
        <v>0.99999999999999978</v>
      </c>
      <c r="CE10" s="92">
        <v>8.1187563710499475</v>
      </c>
      <c r="CF10" s="92">
        <v>8.1187563710499475</v>
      </c>
      <c r="CG10" s="92">
        <v>0.99999999999999978</v>
      </c>
      <c r="CH10" s="92">
        <v>8.1187563710499475</v>
      </c>
      <c r="CI10" s="92">
        <v>8.1187563710499475</v>
      </c>
      <c r="CJ10" s="92">
        <v>0.99999999999999978</v>
      </c>
      <c r="CK10" s="92">
        <v>8.1187563710499475</v>
      </c>
      <c r="CL10" s="92">
        <v>8.1187563710499475</v>
      </c>
      <c r="CM10" s="92">
        <v>0.99999999999999978</v>
      </c>
      <c r="CN10" s="92">
        <v>8.1187563710499475</v>
      </c>
      <c r="CO10" s="92">
        <v>8.1187563710499475</v>
      </c>
      <c r="CP10" s="92">
        <v>0.99999999999999978</v>
      </c>
      <c r="CQ10" s="92">
        <v>8.1187563710499475</v>
      </c>
      <c r="CR10" s="92">
        <v>8.1187563710499475</v>
      </c>
    </row>
    <row r="11" spans="1:96" ht="16.5" x14ac:dyDescent="0.3">
      <c r="A11" s="3" t="str">
        <f>INDEX(Mapping!$Y:$Y,MATCH($C11,Mapping!$W:$W,0))</f>
        <v>Rural</v>
      </c>
      <c r="B11" s="3" t="str">
        <f>INDEX(Mapping!$V:$V,MATCH(C11,Mapping!$W:$W,0))</f>
        <v>NEV</v>
      </c>
      <c r="C11" t="s">
        <v>111</v>
      </c>
      <c r="D11">
        <v>3</v>
      </c>
      <c r="E11" s="20"/>
      <c r="F11" s="76">
        <v>100.70422535211267</v>
      </c>
      <c r="G11" s="76">
        <v>101.04851330203442</v>
      </c>
      <c r="H11" s="76">
        <v>95.19561815336462</v>
      </c>
      <c r="I11" s="76">
        <v>85.676056338028161</v>
      </c>
      <c r="J11" s="76">
        <v>87.406885758998442</v>
      </c>
      <c r="K11" s="76">
        <v>81.348982785602516</v>
      </c>
      <c r="L11" s="76">
        <v>84.116985831251185</v>
      </c>
      <c r="M11" s="76">
        <v>84.07478416579012</v>
      </c>
      <c r="N11" s="76">
        <v>84.060483119507595</v>
      </c>
      <c r="O11" s="76">
        <v>84.082626586849557</v>
      </c>
      <c r="P11" s="76">
        <v>84.129474347964006</v>
      </c>
      <c r="Q11" s="76">
        <v>84.230210939286422</v>
      </c>
      <c r="R11" s="76">
        <v>84.334653688007435</v>
      </c>
      <c r="S11" s="76">
        <v>84.434546479108533</v>
      </c>
      <c r="T11" s="76">
        <v>84.530707001592319</v>
      </c>
      <c r="U11" s="76">
        <v>84.626859118405804</v>
      </c>
      <c r="V11" s="76">
        <v>84.730761450489865</v>
      </c>
      <c r="Y11" s="3">
        <v>5</v>
      </c>
      <c r="Z11" s="3">
        <v>20</v>
      </c>
      <c r="AA11" s="3" t="s">
        <v>103</v>
      </c>
      <c r="AB11" s="3" t="s">
        <v>89</v>
      </c>
      <c r="AC11" s="18">
        <f t="shared" si="3"/>
        <v>27</v>
      </c>
      <c r="AE11" s="91">
        <v>10.859724367834783</v>
      </c>
      <c r="AF11" s="91">
        <v>3.4</v>
      </c>
      <c r="AG11" s="91">
        <v>3.4</v>
      </c>
      <c r="AH11" s="91">
        <v>3.4</v>
      </c>
      <c r="AI11" s="91">
        <v>3.4</v>
      </c>
      <c r="AJ11" s="91">
        <v>3.4</v>
      </c>
      <c r="AK11" s="91">
        <v>3.4</v>
      </c>
      <c r="AL11" s="91">
        <v>3.4</v>
      </c>
      <c r="AM11" s="91">
        <v>3.4</v>
      </c>
      <c r="AN11" s="91">
        <v>3.4</v>
      </c>
      <c r="AO11" s="91">
        <v>3.4</v>
      </c>
      <c r="AP11" s="91">
        <v>3.4</v>
      </c>
      <c r="AQ11" s="91">
        <v>3.4</v>
      </c>
      <c r="AR11" s="91">
        <v>3.4</v>
      </c>
      <c r="AS11" s="91">
        <v>3.4</v>
      </c>
      <c r="AU11" s="109">
        <f>SUMIFS(CALCS!$J$10:$J$14,CALCS!$H$10:$H$14,$AB11)/$Z11</f>
        <v>10.859724367834785</v>
      </c>
      <c r="AX11" s="3" t="s">
        <v>221</v>
      </c>
      <c r="AY11" t="s">
        <v>164</v>
      </c>
      <c r="AZ11" s="92">
        <v>1</v>
      </c>
      <c r="BA11" s="92">
        <v>0.46327536984168183</v>
      </c>
      <c r="BB11" s="92">
        <v>0</v>
      </c>
      <c r="BC11" s="92">
        <v>1</v>
      </c>
      <c r="BD11" s="92">
        <v>0.6890301929232634</v>
      </c>
      <c r="BE11" s="92">
        <v>0.3445150964616317</v>
      </c>
      <c r="BF11" s="92">
        <v>1</v>
      </c>
      <c r="BG11" s="92">
        <v>0.6890301929232634</v>
      </c>
      <c r="BH11" s="92">
        <v>0.6890301929232634</v>
      </c>
      <c r="BI11" s="92">
        <v>1</v>
      </c>
      <c r="BJ11" s="92">
        <v>0.6890301929232634</v>
      </c>
      <c r="BK11" s="92">
        <v>0.6890301929232634</v>
      </c>
      <c r="BL11" s="92">
        <v>1</v>
      </c>
      <c r="BM11" s="92">
        <v>0.6890301929232634</v>
      </c>
      <c r="BN11" s="92">
        <v>0.6890301929232634</v>
      </c>
      <c r="BO11" s="92">
        <v>1</v>
      </c>
      <c r="BP11" s="92">
        <v>0.6890301929232634</v>
      </c>
      <c r="BQ11" s="92">
        <v>0.6890301929232634</v>
      </c>
      <c r="BR11" s="92">
        <v>1</v>
      </c>
      <c r="BS11" s="92">
        <v>0.6890301929232634</v>
      </c>
      <c r="BT11" s="92">
        <v>0.6890301929232634</v>
      </c>
      <c r="BU11" s="92">
        <v>1</v>
      </c>
      <c r="BV11" s="92">
        <v>0.6890301929232634</v>
      </c>
      <c r="BW11" s="92">
        <v>0.6890301929232634</v>
      </c>
      <c r="BX11" s="92">
        <v>1</v>
      </c>
      <c r="BY11" s="92">
        <v>0.6890301929232634</v>
      </c>
      <c r="BZ11" s="92">
        <v>0.6890301929232634</v>
      </c>
      <c r="CA11" s="92">
        <v>1</v>
      </c>
      <c r="CB11" s="92">
        <v>0.6890301929232634</v>
      </c>
      <c r="CC11" s="92">
        <v>0.6890301929232634</v>
      </c>
      <c r="CD11" s="92">
        <v>1</v>
      </c>
      <c r="CE11" s="92">
        <v>0.6890301929232634</v>
      </c>
      <c r="CF11" s="92">
        <v>0.6890301929232634</v>
      </c>
      <c r="CG11" s="92">
        <v>1</v>
      </c>
      <c r="CH11" s="92">
        <v>0.6890301929232634</v>
      </c>
      <c r="CI11" s="92">
        <v>0.6890301929232634</v>
      </c>
      <c r="CJ11" s="92">
        <v>1</v>
      </c>
      <c r="CK11" s="92">
        <v>0.6890301929232634</v>
      </c>
      <c r="CL11" s="92">
        <v>0.6890301929232634</v>
      </c>
      <c r="CM11" s="92">
        <v>1</v>
      </c>
      <c r="CN11" s="92">
        <v>0.6890301929232634</v>
      </c>
      <c r="CO11" s="92">
        <v>0.6890301929232634</v>
      </c>
      <c r="CP11" s="92">
        <v>1</v>
      </c>
      <c r="CQ11" s="92">
        <v>0.6890301929232634</v>
      </c>
      <c r="CR11" s="92">
        <v>0.6890301929232634</v>
      </c>
    </row>
    <row r="12" spans="1:96" ht="16.5" x14ac:dyDescent="0.3">
      <c r="A12" s="3" t="str">
        <f>INDEX(Mapping!$Y:$Y,MATCH($C12,Mapping!$W:$W,0))</f>
        <v>Rural</v>
      </c>
      <c r="B12" s="3" t="str">
        <f>INDEX(Mapping!$V:$V,MATCH(C12,Mapping!$W:$W,0))</f>
        <v>NEV</v>
      </c>
      <c r="C12" t="s">
        <v>111</v>
      </c>
      <c r="D12">
        <v>4</v>
      </c>
      <c r="E12" s="20"/>
      <c r="F12" s="76">
        <v>108.94366197183098</v>
      </c>
      <c r="G12" s="76">
        <v>109.31611893583724</v>
      </c>
      <c r="H12" s="76">
        <v>102.98435054773083</v>
      </c>
      <c r="I12" s="76">
        <v>95.19561815336462</v>
      </c>
      <c r="J12" s="76">
        <v>85.676056338028161</v>
      </c>
      <c r="K12" s="76">
        <v>87.406885758998442</v>
      </c>
      <c r="L12" s="76">
        <v>81.348982785602516</v>
      </c>
      <c r="M12" s="76">
        <v>84.116985831251185</v>
      </c>
      <c r="N12" s="76">
        <v>84.07478416579012</v>
      </c>
      <c r="O12" s="76">
        <v>84.060483119507595</v>
      </c>
      <c r="P12" s="76">
        <v>84.082626586849557</v>
      </c>
      <c r="Q12" s="76">
        <v>84.129474347964006</v>
      </c>
      <c r="R12" s="76">
        <v>84.230210939286422</v>
      </c>
      <c r="S12" s="76">
        <v>84.334653688007435</v>
      </c>
      <c r="T12" s="76">
        <v>84.434546479108533</v>
      </c>
      <c r="U12" s="76">
        <v>84.530707001592319</v>
      </c>
      <c r="V12" s="76">
        <v>84.626859118405804</v>
      </c>
      <c r="Y12" s="3">
        <v>5</v>
      </c>
      <c r="Z12" s="3">
        <v>20</v>
      </c>
      <c r="AA12" s="3" t="s">
        <v>103</v>
      </c>
      <c r="AB12" s="3" t="s">
        <v>89</v>
      </c>
      <c r="AC12" s="18">
        <f t="shared" si="3"/>
        <v>28</v>
      </c>
      <c r="AE12" s="91">
        <v>10.859724367834783</v>
      </c>
      <c r="AF12" s="91">
        <v>3.4</v>
      </c>
      <c r="AG12" s="91">
        <v>3.4</v>
      </c>
      <c r="AH12" s="91">
        <v>3.4</v>
      </c>
      <c r="AI12" s="91">
        <v>3.4</v>
      </c>
      <c r="AJ12" s="91">
        <v>3.4</v>
      </c>
      <c r="AK12" s="91">
        <v>3.4</v>
      </c>
      <c r="AL12" s="91">
        <v>3.4</v>
      </c>
      <c r="AM12" s="91">
        <v>3.4</v>
      </c>
      <c r="AN12" s="91">
        <v>3.4</v>
      </c>
      <c r="AO12" s="91">
        <v>3.4</v>
      </c>
      <c r="AP12" s="91">
        <v>3.4</v>
      </c>
      <c r="AQ12" s="91">
        <v>3.4</v>
      </c>
      <c r="AR12" s="91">
        <v>3.4</v>
      </c>
      <c r="AS12" s="91">
        <v>3.4</v>
      </c>
      <c r="AU12" s="109">
        <f>SUMIFS(CALCS!$J$10:$J$14,CALCS!$H$10:$H$14,$AB12)/$Z12</f>
        <v>10.859724367834785</v>
      </c>
      <c r="AX12" s="3" t="s">
        <v>221</v>
      </c>
      <c r="AY12" t="s">
        <v>130</v>
      </c>
      <c r="AZ12" s="92">
        <v>1</v>
      </c>
      <c r="BA12" s="92">
        <v>0.36465781409601628</v>
      </c>
      <c r="BB12" s="92">
        <v>0</v>
      </c>
      <c r="BC12" s="92">
        <v>1</v>
      </c>
      <c r="BD12" s="92">
        <v>0.54235614572693225</v>
      </c>
      <c r="BE12" s="92">
        <v>0.27117807286346612</v>
      </c>
      <c r="BF12" s="92">
        <v>1</v>
      </c>
      <c r="BG12" s="92">
        <v>0.54235614572693225</v>
      </c>
      <c r="BH12" s="92">
        <v>0.54235614572693225</v>
      </c>
      <c r="BI12" s="92">
        <v>1</v>
      </c>
      <c r="BJ12" s="92">
        <v>0.54235614572693225</v>
      </c>
      <c r="BK12" s="92">
        <v>0.54235614572693225</v>
      </c>
      <c r="BL12" s="92">
        <v>1</v>
      </c>
      <c r="BM12" s="92">
        <v>0.54235614572693225</v>
      </c>
      <c r="BN12" s="92">
        <v>0.54235614572693225</v>
      </c>
      <c r="BO12" s="92">
        <v>1</v>
      </c>
      <c r="BP12" s="92">
        <v>0.54235614572693225</v>
      </c>
      <c r="BQ12" s="92">
        <v>0.54235614572693225</v>
      </c>
      <c r="BR12" s="92">
        <v>1</v>
      </c>
      <c r="BS12" s="92">
        <v>0.54235614572693225</v>
      </c>
      <c r="BT12" s="92">
        <v>0.54235614572693225</v>
      </c>
      <c r="BU12" s="92">
        <v>1</v>
      </c>
      <c r="BV12" s="92">
        <v>0.54235614572693225</v>
      </c>
      <c r="BW12" s="92">
        <v>0.54235614572693225</v>
      </c>
      <c r="BX12" s="92">
        <v>1</v>
      </c>
      <c r="BY12" s="92">
        <v>0.54235614572693225</v>
      </c>
      <c r="BZ12" s="92">
        <v>0.54235614572693225</v>
      </c>
      <c r="CA12" s="92">
        <v>1</v>
      </c>
      <c r="CB12" s="92">
        <v>0.54235614572693225</v>
      </c>
      <c r="CC12" s="92">
        <v>0.54235614572693225</v>
      </c>
      <c r="CD12" s="92">
        <v>1</v>
      </c>
      <c r="CE12" s="92">
        <v>0.54235614572693225</v>
      </c>
      <c r="CF12" s="92">
        <v>0.54235614572693225</v>
      </c>
      <c r="CG12" s="92">
        <v>1</v>
      </c>
      <c r="CH12" s="92">
        <v>0.54235614572693225</v>
      </c>
      <c r="CI12" s="92">
        <v>0.54235614572693225</v>
      </c>
      <c r="CJ12" s="92">
        <v>1</v>
      </c>
      <c r="CK12" s="92">
        <v>0.54235614572693225</v>
      </c>
      <c r="CL12" s="92">
        <v>0.54235614572693225</v>
      </c>
      <c r="CM12" s="92">
        <v>1</v>
      </c>
      <c r="CN12" s="92">
        <v>0.54235614572693225</v>
      </c>
      <c r="CO12" s="92">
        <v>0.54235614572693225</v>
      </c>
      <c r="CP12" s="92">
        <v>1</v>
      </c>
      <c r="CQ12" s="92">
        <v>0.54235614572693225</v>
      </c>
      <c r="CR12" s="92">
        <v>0.54235614572693225</v>
      </c>
    </row>
    <row r="13" spans="1:96" ht="16.5" x14ac:dyDescent="0.3">
      <c r="A13" s="3" t="str">
        <f>INDEX(Mapping!$Y:$Y,MATCH($C13,Mapping!$W:$W,0))</f>
        <v>Rural</v>
      </c>
      <c r="B13" s="3" t="str">
        <f>INDEX(Mapping!$V:$V,MATCH(C13,Mapping!$W:$W,0))</f>
        <v>NEV</v>
      </c>
      <c r="C13" t="s">
        <v>111</v>
      </c>
      <c r="D13">
        <v>5</v>
      </c>
      <c r="E13" s="20"/>
      <c r="F13" s="76">
        <v>139.23630672926447</v>
      </c>
      <c r="G13" s="76">
        <v>136.87636932707355</v>
      </c>
      <c r="H13" s="76">
        <v>133.0641627543036</v>
      </c>
      <c r="I13" s="76">
        <v>102.98435054773083</v>
      </c>
      <c r="J13" s="76">
        <v>95.19561815336462</v>
      </c>
      <c r="K13" s="76">
        <v>85.676056338028161</v>
      </c>
      <c r="L13" s="76">
        <v>87.406885758998442</v>
      </c>
      <c r="M13" s="76">
        <v>81.348982785602516</v>
      </c>
      <c r="N13" s="76">
        <v>84.116985831251185</v>
      </c>
      <c r="O13" s="76">
        <v>84.07478416579012</v>
      </c>
      <c r="P13" s="76">
        <v>84.060483119507595</v>
      </c>
      <c r="Q13" s="76">
        <v>84.082626586849557</v>
      </c>
      <c r="R13" s="76">
        <v>84.129474347964006</v>
      </c>
      <c r="S13" s="76">
        <v>84.230210939286422</v>
      </c>
      <c r="T13" s="76">
        <v>84.334653688007435</v>
      </c>
      <c r="U13" s="76">
        <v>84.434546479108533</v>
      </c>
      <c r="V13" s="76">
        <v>84.530707001592319</v>
      </c>
      <c r="Y13" s="3">
        <v>5</v>
      </c>
      <c r="Z13" s="3">
        <v>20</v>
      </c>
      <c r="AA13" s="3" t="s">
        <v>103</v>
      </c>
      <c r="AB13" s="3" t="s">
        <v>89</v>
      </c>
      <c r="AC13" s="18">
        <f t="shared" si="3"/>
        <v>29</v>
      </c>
      <c r="AE13" s="91">
        <v>10.859724367834783</v>
      </c>
      <c r="AF13" s="91">
        <v>3.4</v>
      </c>
      <c r="AG13" s="91">
        <v>3.4</v>
      </c>
      <c r="AH13" s="91">
        <v>3.4</v>
      </c>
      <c r="AI13" s="91">
        <v>3.4</v>
      </c>
      <c r="AJ13" s="91">
        <v>3.4</v>
      </c>
      <c r="AK13" s="91">
        <v>3.4</v>
      </c>
      <c r="AL13" s="91">
        <v>3.4</v>
      </c>
      <c r="AM13" s="91">
        <v>3.4</v>
      </c>
      <c r="AN13" s="91">
        <v>3.4</v>
      </c>
      <c r="AO13" s="91">
        <v>3.4</v>
      </c>
      <c r="AP13" s="91">
        <v>3.4</v>
      </c>
      <c r="AQ13" s="91">
        <v>3.4</v>
      </c>
      <c r="AR13" s="91">
        <v>3.4</v>
      </c>
      <c r="AS13" s="91">
        <v>3.4</v>
      </c>
      <c r="AU13" s="109">
        <f>SUMIFS(CALCS!$J$10:$J$14,CALCS!$H$10:$H$14,$AB13)/$Z13</f>
        <v>10.859724367834785</v>
      </c>
      <c r="AX13" s="3" t="s">
        <v>221</v>
      </c>
      <c r="AY13" t="s">
        <v>147</v>
      </c>
      <c r="AZ13" s="92">
        <v>0.99999999999999967</v>
      </c>
      <c r="BA13" s="92">
        <v>1.7380720545277502</v>
      </c>
      <c r="BB13" s="92">
        <v>0</v>
      </c>
      <c r="BC13" s="92">
        <v>0.99999999999999967</v>
      </c>
      <c r="BD13" s="92">
        <v>2.5850373255436541</v>
      </c>
      <c r="BE13" s="92">
        <v>1.292518662771827</v>
      </c>
      <c r="BF13" s="92">
        <v>0.99999999999999967</v>
      </c>
      <c r="BG13" s="92">
        <v>2.5850373255436541</v>
      </c>
      <c r="BH13" s="92">
        <v>2.5850373255436541</v>
      </c>
      <c r="BI13" s="92">
        <v>0.99999999999999967</v>
      </c>
      <c r="BJ13" s="92">
        <v>2.5850373255436541</v>
      </c>
      <c r="BK13" s="92">
        <v>2.5850373255436541</v>
      </c>
      <c r="BL13" s="92">
        <v>0.99999999999999967</v>
      </c>
      <c r="BM13" s="92">
        <v>2.5850373255436541</v>
      </c>
      <c r="BN13" s="92">
        <v>2.5850373255436541</v>
      </c>
      <c r="BO13" s="92">
        <v>0.99999999999999967</v>
      </c>
      <c r="BP13" s="92">
        <v>2.5850373255436541</v>
      </c>
      <c r="BQ13" s="92">
        <v>2.5850373255436541</v>
      </c>
      <c r="BR13" s="92">
        <v>0.99999999999999967</v>
      </c>
      <c r="BS13" s="92">
        <v>2.5850373255436541</v>
      </c>
      <c r="BT13" s="92">
        <v>2.5850373255436541</v>
      </c>
      <c r="BU13" s="92">
        <v>0.99999999999999967</v>
      </c>
      <c r="BV13" s="92">
        <v>2.5850373255436541</v>
      </c>
      <c r="BW13" s="92">
        <v>2.5850373255436541</v>
      </c>
      <c r="BX13" s="92">
        <v>0.99999999999999967</v>
      </c>
      <c r="BY13" s="92">
        <v>2.5850373255436541</v>
      </c>
      <c r="BZ13" s="92">
        <v>2.5850373255436541</v>
      </c>
      <c r="CA13" s="92">
        <v>0.99999999999999967</v>
      </c>
      <c r="CB13" s="92">
        <v>2.5850373255436541</v>
      </c>
      <c r="CC13" s="92">
        <v>2.5850373255436541</v>
      </c>
      <c r="CD13" s="92">
        <v>0.99999999999999967</v>
      </c>
      <c r="CE13" s="92">
        <v>2.5850373255436541</v>
      </c>
      <c r="CF13" s="92">
        <v>2.5850373255436541</v>
      </c>
      <c r="CG13" s="92">
        <v>0.99999999999999967</v>
      </c>
      <c r="CH13" s="92">
        <v>2.5850373255436541</v>
      </c>
      <c r="CI13" s="92">
        <v>2.5850373255436541</v>
      </c>
      <c r="CJ13" s="92">
        <v>0.99999999999999967</v>
      </c>
      <c r="CK13" s="92">
        <v>2.5850373255436541</v>
      </c>
      <c r="CL13" s="92">
        <v>2.5850373255436541</v>
      </c>
      <c r="CM13" s="92">
        <v>0.99999999999999967</v>
      </c>
      <c r="CN13" s="92">
        <v>2.5850373255436541</v>
      </c>
      <c r="CO13" s="92">
        <v>2.5850373255436541</v>
      </c>
      <c r="CP13" s="92">
        <v>0.99999999999999967</v>
      </c>
      <c r="CQ13" s="92">
        <v>2.5850373255436541</v>
      </c>
      <c r="CR13" s="92">
        <v>2.5850373255436541</v>
      </c>
    </row>
    <row r="14" spans="1:96" ht="16.5" x14ac:dyDescent="0.3">
      <c r="A14" s="3" t="str">
        <f>INDEX(Mapping!$Y:$Y,MATCH($C14,Mapping!$W:$W,0))</f>
        <v>Rural</v>
      </c>
      <c r="B14" s="3" t="str">
        <f>INDEX(Mapping!$V:$V,MATCH(C14,Mapping!$W:$W,0))</f>
        <v>SWV</v>
      </c>
      <c r="C14" t="s">
        <v>163</v>
      </c>
      <c r="D14">
        <v>0</v>
      </c>
      <c r="E14" s="20"/>
      <c r="F14" s="76">
        <v>95.372980910425838</v>
      </c>
      <c r="G14" s="76">
        <v>95.372980910425838</v>
      </c>
      <c r="H14" s="76">
        <v>94.587371512481639</v>
      </c>
      <c r="I14" s="76">
        <v>92.398317419229386</v>
      </c>
      <c r="J14" s="76">
        <v>91.935992631062291</v>
      </c>
      <c r="K14" s="76">
        <v>91.661546052529744</v>
      </c>
      <c r="L14" s="76">
        <v>91.433260728623992</v>
      </c>
      <c r="M14" s="76">
        <v>91.193189042875218</v>
      </c>
      <c r="N14" s="76">
        <v>90.969027338117243</v>
      </c>
      <c r="O14" s="76">
        <v>90.821240955219324</v>
      </c>
      <c r="P14" s="76">
        <v>90.721122132832392</v>
      </c>
      <c r="Q14" s="76">
        <v>90.676860440678198</v>
      </c>
      <c r="R14" s="76">
        <v>90.6533941837708</v>
      </c>
      <c r="S14" s="76">
        <v>90.638803666393443</v>
      </c>
      <c r="T14" s="76">
        <v>90.632678573679684</v>
      </c>
      <c r="U14" s="76">
        <v>90.634336125909215</v>
      </c>
      <c r="V14" s="76">
        <v>90.641737962787886</v>
      </c>
      <c r="Y14" s="3">
        <v>10</v>
      </c>
      <c r="Z14" s="3">
        <v>20</v>
      </c>
      <c r="AA14" s="3" t="s">
        <v>98</v>
      </c>
      <c r="AB14" s="3" t="s">
        <v>89</v>
      </c>
      <c r="AC14" s="18">
        <f t="shared" si="3"/>
        <v>30</v>
      </c>
      <c r="AE14" s="91">
        <v>10.859724367834783</v>
      </c>
      <c r="AF14" s="91">
        <v>3</v>
      </c>
      <c r="AG14" s="91">
        <v>3</v>
      </c>
      <c r="AH14" s="91">
        <v>3</v>
      </c>
      <c r="AI14" s="91">
        <v>3</v>
      </c>
      <c r="AJ14" s="91">
        <v>3</v>
      </c>
      <c r="AK14" s="91">
        <v>3</v>
      </c>
      <c r="AL14" s="91">
        <v>3</v>
      </c>
      <c r="AM14" s="91">
        <v>3</v>
      </c>
      <c r="AN14" s="91">
        <v>3</v>
      </c>
      <c r="AO14" s="91">
        <v>3</v>
      </c>
      <c r="AP14" s="91">
        <v>3</v>
      </c>
      <c r="AQ14" s="91">
        <v>3</v>
      </c>
      <c r="AR14" s="91">
        <v>3</v>
      </c>
      <c r="AS14" s="91">
        <v>3</v>
      </c>
      <c r="AU14" s="109">
        <f>SUMIFS(CALCS!$J$10:$J$14,CALCS!$H$10:$H$14,$AB14)/$Z14</f>
        <v>10.859724367834785</v>
      </c>
      <c r="AX14" s="3" t="s">
        <v>221</v>
      </c>
      <c r="AY14" t="s">
        <v>148</v>
      </c>
      <c r="AZ14" s="92">
        <v>1</v>
      </c>
      <c r="BA14" s="92">
        <v>0.9674796747967479</v>
      </c>
      <c r="BB14" s="92">
        <v>0</v>
      </c>
      <c r="BC14" s="92">
        <v>1</v>
      </c>
      <c r="BD14" s="92">
        <v>1.4389340560072266</v>
      </c>
      <c r="BE14" s="92">
        <v>0.71946702800361328</v>
      </c>
      <c r="BF14" s="92">
        <v>1</v>
      </c>
      <c r="BG14" s="92">
        <v>1.4389340560072266</v>
      </c>
      <c r="BH14" s="92">
        <v>1.4389340560072266</v>
      </c>
      <c r="BI14" s="92">
        <v>1</v>
      </c>
      <c r="BJ14" s="92">
        <v>1.4389340560072266</v>
      </c>
      <c r="BK14" s="92">
        <v>1.4389340560072266</v>
      </c>
      <c r="BL14" s="92">
        <v>1</v>
      </c>
      <c r="BM14" s="92">
        <v>1.4389340560072266</v>
      </c>
      <c r="BN14" s="92">
        <v>1.4389340560072266</v>
      </c>
      <c r="BO14" s="92">
        <v>1</v>
      </c>
      <c r="BP14" s="92">
        <v>1.4389340560072266</v>
      </c>
      <c r="BQ14" s="92">
        <v>1.4389340560072266</v>
      </c>
      <c r="BR14" s="92">
        <v>1</v>
      </c>
      <c r="BS14" s="92">
        <v>1.4389340560072266</v>
      </c>
      <c r="BT14" s="92">
        <v>1.4389340560072266</v>
      </c>
      <c r="BU14" s="92">
        <v>1</v>
      </c>
      <c r="BV14" s="92">
        <v>1.4389340560072266</v>
      </c>
      <c r="BW14" s="92">
        <v>1.4389340560072266</v>
      </c>
      <c r="BX14" s="92">
        <v>1</v>
      </c>
      <c r="BY14" s="92">
        <v>1.4389340560072266</v>
      </c>
      <c r="BZ14" s="92">
        <v>1.4389340560072266</v>
      </c>
      <c r="CA14" s="92">
        <v>1</v>
      </c>
      <c r="CB14" s="92">
        <v>1.4389340560072266</v>
      </c>
      <c r="CC14" s="92">
        <v>1.4389340560072266</v>
      </c>
      <c r="CD14" s="92">
        <v>1</v>
      </c>
      <c r="CE14" s="92">
        <v>1.4389340560072266</v>
      </c>
      <c r="CF14" s="92">
        <v>1.4389340560072266</v>
      </c>
      <c r="CG14" s="92">
        <v>1</v>
      </c>
      <c r="CH14" s="92">
        <v>1.4389340560072266</v>
      </c>
      <c r="CI14" s="92">
        <v>1.4389340560072266</v>
      </c>
      <c r="CJ14" s="92">
        <v>1</v>
      </c>
      <c r="CK14" s="92">
        <v>1.4389340560072266</v>
      </c>
      <c r="CL14" s="92">
        <v>1.4389340560072266</v>
      </c>
      <c r="CM14" s="92">
        <v>1</v>
      </c>
      <c r="CN14" s="92">
        <v>1.4389340560072266</v>
      </c>
      <c r="CO14" s="92">
        <v>1.4389340560072266</v>
      </c>
      <c r="CP14" s="92">
        <v>1</v>
      </c>
      <c r="CQ14" s="92">
        <v>1.4389340560072266</v>
      </c>
      <c r="CR14" s="92">
        <v>1.4389340560072266</v>
      </c>
    </row>
    <row r="15" spans="1:96" ht="16.5" x14ac:dyDescent="0.3">
      <c r="A15" s="3" t="str">
        <f>INDEX(Mapping!$Y:$Y,MATCH($C15,Mapping!$W:$W,0))</f>
        <v>Rural</v>
      </c>
      <c r="B15" s="3" t="str">
        <f>INDEX(Mapping!$V:$V,MATCH(C15,Mapping!$W:$W,0))</f>
        <v>SWV</v>
      </c>
      <c r="C15" t="s">
        <v>163</v>
      </c>
      <c r="D15">
        <v>1</v>
      </c>
      <c r="E15" s="20"/>
      <c r="F15" s="76">
        <v>102.50367107195302</v>
      </c>
      <c r="G15" s="76">
        <v>102.50367107195302</v>
      </c>
      <c r="H15" s="76">
        <v>101.65932452276066</v>
      </c>
      <c r="I15" s="76">
        <v>94.587371512481639</v>
      </c>
      <c r="J15" s="76">
        <v>92.398317419229386</v>
      </c>
      <c r="K15" s="76">
        <v>91.935992631062291</v>
      </c>
      <c r="L15" s="76">
        <v>91.661546052529744</v>
      </c>
      <c r="M15" s="76">
        <v>91.433260728623992</v>
      </c>
      <c r="N15" s="76">
        <v>91.193189042875218</v>
      </c>
      <c r="O15" s="76">
        <v>90.969027338117243</v>
      </c>
      <c r="P15" s="76">
        <v>90.821240955219324</v>
      </c>
      <c r="Q15" s="76">
        <v>90.721122132832392</v>
      </c>
      <c r="R15" s="76">
        <v>90.676860440678198</v>
      </c>
      <c r="S15" s="76">
        <v>90.6533941837708</v>
      </c>
      <c r="T15" s="76">
        <v>90.638803666393443</v>
      </c>
      <c r="U15" s="76">
        <v>90.632678573679684</v>
      </c>
      <c r="V15" s="76">
        <v>90.634336125909215</v>
      </c>
      <c r="Y15" s="3">
        <v>10</v>
      </c>
      <c r="Z15" s="3">
        <v>20</v>
      </c>
      <c r="AA15" s="3" t="s">
        <v>98</v>
      </c>
      <c r="AB15" s="3" t="s">
        <v>89</v>
      </c>
      <c r="AC15" s="18">
        <f t="shared" si="3"/>
        <v>31</v>
      </c>
      <c r="AE15" s="91">
        <v>10.859724367834783</v>
      </c>
      <c r="AF15" s="91">
        <v>3</v>
      </c>
      <c r="AG15" s="91">
        <v>3</v>
      </c>
      <c r="AH15" s="91">
        <v>3</v>
      </c>
      <c r="AI15" s="91">
        <v>3</v>
      </c>
      <c r="AJ15" s="91">
        <v>3</v>
      </c>
      <c r="AK15" s="91">
        <v>3</v>
      </c>
      <c r="AL15" s="91">
        <v>3</v>
      </c>
      <c r="AM15" s="91">
        <v>3</v>
      </c>
      <c r="AN15" s="91">
        <v>3</v>
      </c>
      <c r="AO15" s="91">
        <v>3</v>
      </c>
      <c r="AP15" s="91">
        <v>3</v>
      </c>
      <c r="AQ15" s="91">
        <v>3</v>
      </c>
      <c r="AR15" s="91">
        <v>3</v>
      </c>
      <c r="AS15" s="91">
        <v>3</v>
      </c>
      <c r="AU15" s="109">
        <f>SUMIFS(CALCS!$J$10:$J$14,CALCS!$H$10:$H$14,$AB15)/$Z15</f>
        <v>10.859724367834785</v>
      </c>
      <c r="AX15" s="3" t="s">
        <v>221</v>
      </c>
      <c r="AY15" t="s">
        <v>149</v>
      </c>
      <c r="AZ15" s="92">
        <v>1</v>
      </c>
      <c r="BA15" s="92">
        <v>0.64277997839395029</v>
      </c>
      <c r="BB15" s="92">
        <v>0</v>
      </c>
      <c r="BC15" s="92">
        <v>1</v>
      </c>
      <c r="BD15" s="92">
        <v>0.95600768215100229</v>
      </c>
      <c r="BE15" s="92">
        <v>0.47800384107550115</v>
      </c>
      <c r="BF15" s="92">
        <v>1</v>
      </c>
      <c r="BG15" s="92">
        <v>0.95600768215100229</v>
      </c>
      <c r="BH15" s="92">
        <v>0.95600768215100229</v>
      </c>
      <c r="BI15" s="92">
        <v>1</v>
      </c>
      <c r="BJ15" s="92">
        <v>0.95600768215100229</v>
      </c>
      <c r="BK15" s="92">
        <v>0.95600768215100229</v>
      </c>
      <c r="BL15" s="92">
        <v>1</v>
      </c>
      <c r="BM15" s="92">
        <v>0.95600768215100229</v>
      </c>
      <c r="BN15" s="92">
        <v>0.95600768215100229</v>
      </c>
      <c r="BO15" s="92">
        <v>1</v>
      </c>
      <c r="BP15" s="92">
        <v>0.95600768215100229</v>
      </c>
      <c r="BQ15" s="92">
        <v>0.95600768215100229</v>
      </c>
      <c r="BR15" s="92">
        <v>1</v>
      </c>
      <c r="BS15" s="92">
        <v>0.95600768215100229</v>
      </c>
      <c r="BT15" s="92">
        <v>0.95600768215100229</v>
      </c>
      <c r="BU15" s="92">
        <v>1</v>
      </c>
      <c r="BV15" s="92">
        <v>0.95600768215100229</v>
      </c>
      <c r="BW15" s="92">
        <v>0.95600768215100229</v>
      </c>
      <c r="BX15" s="92">
        <v>1</v>
      </c>
      <c r="BY15" s="92">
        <v>0.95600768215100229</v>
      </c>
      <c r="BZ15" s="92">
        <v>0.95600768215100229</v>
      </c>
      <c r="CA15" s="92">
        <v>1</v>
      </c>
      <c r="CB15" s="92">
        <v>0.95600768215100229</v>
      </c>
      <c r="CC15" s="92">
        <v>0.95600768215100229</v>
      </c>
      <c r="CD15" s="92">
        <v>1</v>
      </c>
      <c r="CE15" s="92">
        <v>0.95600768215100229</v>
      </c>
      <c r="CF15" s="92">
        <v>0.95600768215100229</v>
      </c>
      <c r="CG15" s="92">
        <v>1</v>
      </c>
      <c r="CH15" s="92">
        <v>0.95600768215100229</v>
      </c>
      <c r="CI15" s="92">
        <v>0.95600768215100229</v>
      </c>
      <c r="CJ15" s="92">
        <v>1</v>
      </c>
      <c r="CK15" s="92">
        <v>0.95600768215100229</v>
      </c>
      <c r="CL15" s="92">
        <v>0.95600768215100229</v>
      </c>
      <c r="CM15" s="92">
        <v>1</v>
      </c>
      <c r="CN15" s="92">
        <v>0.95600768215100229</v>
      </c>
      <c r="CO15" s="92">
        <v>0.95600768215100229</v>
      </c>
      <c r="CP15" s="92">
        <v>1</v>
      </c>
      <c r="CQ15" s="92">
        <v>0.95600768215100229</v>
      </c>
      <c r="CR15" s="92">
        <v>0.95600768215100229</v>
      </c>
    </row>
    <row r="16" spans="1:96" ht="16.5" x14ac:dyDescent="0.3">
      <c r="A16" s="3" t="str">
        <f>INDEX(Mapping!$Y:$Y,MATCH($C16,Mapping!$W:$W,0))</f>
        <v>Rural</v>
      </c>
      <c r="B16" s="3" t="str">
        <f>INDEX(Mapping!$V:$V,MATCH(C16,Mapping!$W:$W,0))</f>
        <v>SWV</v>
      </c>
      <c r="C16" t="s">
        <v>163</v>
      </c>
      <c r="D16">
        <v>2</v>
      </c>
      <c r="E16" s="20"/>
      <c r="F16" s="76">
        <v>92.698972099853151</v>
      </c>
      <c r="G16" s="76">
        <v>92.698972099853151</v>
      </c>
      <c r="H16" s="76">
        <v>91.935389133627012</v>
      </c>
      <c r="I16" s="76">
        <v>101.65932452276066</v>
      </c>
      <c r="J16" s="76">
        <v>94.587371512481639</v>
      </c>
      <c r="K16" s="76">
        <v>92.398317419229386</v>
      </c>
      <c r="L16" s="76">
        <v>91.935992631062291</v>
      </c>
      <c r="M16" s="76">
        <v>91.661546052529744</v>
      </c>
      <c r="N16" s="76">
        <v>91.433260728623992</v>
      </c>
      <c r="O16" s="76">
        <v>91.193189042875218</v>
      </c>
      <c r="P16" s="76">
        <v>90.969027338117243</v>
      </c>
      <c r="Q16" s="76">
        <v>90.821240955219324</v>
      </c>
      <c r="R16" s="76">
        <v>90.721122132832392</v>
      </c>
      <c r="S16" s="76">
        <v>90.676860440678198</v>
      </c>
      <c r="T16" s="76">
        <v>90.6533941837708</v>
      </c>
      <c r="U16" s="76">
        <v>90.638803666393443</v>
      </c>
      <c r="V16" s="76">
        <v>90.632678573679684</v>
      </c>
      <c r="Y16" s="3">
        <v>10</v>
      </c>
      <c r="Z16" s="3">
        <v>20</v>
      </c>
      <c r="AA16" s="3" t="s">
        <v>98</v>
      </c>
      <c r="AB16" s="3" t="s">
        <v>89</v>
      </c>
      <c r="AC16" s="18">
        <f t="shared" si="3"/>
        <v>32</v>
      </c>
      <c r="AE16" s="91">
        <v>10.859724367834783</v>
      </c>
      <c r="AF16" s="91">
        <v>3</v>
      </c>
      <c r="AG16" s="91">
        <v>3</v>
      </c>
      <c r="AH16" s="91">
        <v>3</v>
      </c>
      <c r="AI16" s="91">
        <v>3</v>
      </c>
      <c r="AJ16" s="91">
        <v>3</v>
      </c>
      <c r="AK16" s="91">
        <v>3</v>
      </c>
      <c r="AL16" s="91">
        <v>3</v>
      </c>
      <c r="AM16" s="91">
        <v>3</v>
      </c>
      <c r="AN16" s="91">
        <v>3</v>
      </c>
      <c r="AO16" s="91">
        <v>3</v>
      </c>
      <c r="AP16" s="91">
        <v>3</v>
      </c>
      <c r="AQ16" s="91">
        <v>3</v>
      </c>
      <c r="AR16" s="91">
        <v>3</v>
      </c>
      <c r="AS16" s="91">
        <v>3</v>
      </c>
      <c r="AU16" s="109">
        <f>SUMIFS(CALCS!$J$10:$J$14,CALCS!$H$10:$H$14,$AB16)/$Z16</f>
        <v>10.859724367834785</v>
      </c>
      <c r="AX16" s="3" t="s">
        <v>221</v>
      </c>
      <c r="AY16" t="s">
        <v>112</v>
      </c>
      <c r="AZ16" s="92">
        <v>0.99999999999999978</v>
      </c>
      <c r="BA16" s="92">
        <v>4.4292803970223318</v>
      </c>
      <c r="BB16" s="92">
        <v>0</v>
      </c>
      <c r="BC16" s="92">
        <v>0.99999999999999978</v>
      </c>
      <c r="BD16" s="92">
        <v>6.5876757650951188</v>
      </c>
      <c r="BE16" s="92">
        <v>3.2938378825475594</v>
      </c>
      <c r="BF16" s="92">
        <v>0.99999999999999978</v>
      </c>
      <c r="BG16" s="92">
        <v>6.5876757650951188</v>
      </c>
      <c r="BH16" s="92">
        <v>6.5876757650951188</v>
      </c>
      <c r="BI16" s="92">
        <v>0.99999999999999978</v>
      </c>
      <c r="BJ16" s="92">
        <v>6.5876757650951188</v>
      </c>
      <c r="BK16" s="92">
        <v>6.5876757650951188</v>
      </c>
      <c r="BL16" s="92">
        <v>0.99999999999999978</v>
      </c>
      <c r="BM16" s="92">
        <v>6.5876757650951188</v>
      </c>
      <c r="BN16" s="92">
        <v>6.5876757650951188</v>
      </c>
      <c r="BO16" s="92">
        <v>0.99999999999999978</v>
      </c>
      <c r="BP16" s="92">
        <v>6.5876757650951188</v>
      </c>
      <c r="BQ16" s="92">
        <v>6.5876757650951188</v>
      </c>
      <c r="BR16" s="92">
        <v>0.99999999999999978</v>
      </c>
      <c r="BS16" s="92">
        <v>6.5876757650951188</v>
      </c>
      <c r="BT16" s="92">
        <v>6.5876757650951188</v>
      </c>
      <c r="BU16" s="92">
        <v>0.99999999999999978</v>
      </c>
      <c r="BV16" s="92">
        <v>6.5876757650951188</v>
      </c>
      <c r="BW16" s="92">
        <v>6.5876757650951188</v>
      </c>
      <c r="BX16" s="92">
        <v>0.99999999999999978</v>
      </c>
      <c r="BY16" s="92">
        <v>6.5876757650951188</v>
      </c>
      <c r="BZ16" s="92">
        <v>6.5876757650951188</v>
      </c>
      <c r="CA16" s="92">
        <v>0.99999999999999978</v>
      </c>
      <c r="CB16" s="92">
        <v>6.5876757650951188</v>
      </c>
      <c r="CC16" s="92">
        <v>6.5876757650951188</v>
      </c>
      <c r="CD16" s="92">
        <v>0.99999999999999978</v>
      </c>
      <c r="CE16" s="92">
        <v>6.5876757650951188</v>
      </c>
      <c r="CF16" s="92">
        <v>6.5876757650951188</v>
      </c>
      <c r="CG16" s="92">
        <v>0.99999999999999978</v>
      </c>
      <c r="CH16" s="92">
        <v>6.5876757650951188</v>
      </c>
      <c r="CI16" s="92">
        <v>6.5876757650951188</v>
      </c>
      <c r="CJ16" s="92">
        <v>0.99999999999999978</v>
      </c>
      <c r="CK16" s="92">
        <v>6.5876757650951188</v>
      </c>
      <c r="CL16" s="92">
        <v>6.5876757650951188</v>
      </c>
      <c r="CM16" s="92">
        <v>0.99999999999999978</v>
      </c>
      <c r="CN16" s="92">
        <v>6.5876757650951188</v>
      </c>
      <c r="CO16" s="92">
        <v>6.5876757650951188</v>
      </c>
      <c r="CP16" s="92">
        <v>0.99999999999999978</v>
      </c>
      <c r="CQ16" s="92">
        <v>6.5876757650951188</v>
      </c>
      <c r="CR16" s="92">
        <v>6.5876757650951188</v>
      </c>
    </row>
    <row r="17" spans="1:96" ht="16.5" x14ac:dyDescent="0.3">
      <c r="A17" s="3" t="str">
        <f>INDEX(Mapping!$Y:$Y,MATCH($C17,Mapping!$W:$W,0))</f>
        <v>Rural</v>
      </c>
      <c r="B17" s="3" t="str">
        <f>INDEX(Mapping!$V:$V,MATCH(C17,Mapping!$W:$W,0))</f>
        <v>SWV</v>
      </c>
      <c r="C17" t="s">
        <v>163</v>
      </c>
      <c r="D17">
        <v>3</v>
      </c>
      <c r="E17" s="20"/>
      <c r="F17" s="76">
        <v>102.50367107195302</v>
      </c>
      <c r="G17" s="76">
        <v>102.50367107195302</v>
      </c>
      <c r="H17" s="76">
        <v>101.65932452276066</v>
      </c>
      <c r="I17" s="76">
        <v>91.935389133627012</v>
      </c>
      <c r="J17" s="76">
        <v>101.65932452276066</v>
      </c>
      <c r="K17" s="76">
        <v>94.587371512481639</v>
      </c>
      <c r="L17" s="76">
        <v>92.398317419229386</v>
      </c>
      <c r="M17" s="76">
        <v>91.935992631062291</v>
      </c>
      <c r="N17" s="76">
        <v>91.661546052529744</v>
      </c>
      <c r="O17" s="76">
        <v>91.433260728623992</v>
      </c>
      <c r="P17" s="76">
        <v>91.193189042875218</v>
      </c>
      <c r="Q17" s="76">
        <v>90.969027338117243</v>
      </c>
      <c r="R17" s="76">
        <v>90.821240955219324</v>
      </c>
      <c r="S17" s="76">
        <v>90.721122132832392</v>
      </c>
      <c r="T17" s="76">
        <v>90.676860440678198</v>
      </c>
      <c r="U17" s="76">
        <v>90.6533941837708</v>
      </c>
      <c r="V17" s="76">
        <v>90.638803666393443</v>
      </c>
      <c r="Y17" s="3">
        <v>10</v>
      </c>
      <c r="Z17" s="3">
        <v>20</v>
      </c>
      <c r="AA17" s="3" t="s">
        <v>98</v>
      </c>
      <c r="AB17" s="3" t="s">
        <v>89</v>
      </c>
      <c r="AC17" s="18">
        <f t="shared" si="3"/>
        <v>33</v>
      </c>
      <c r="AE17" s="91">
        <v>10.859724367834783</v>
      </c>
      <c r="AF17" s="91">
        <v>3</v>
      </c>
      <c r="AG17" s="91">
        <v>3</v>
      </c>
      <c r="AH17" s="91">
        <v>3</v>
      </c>
      <c r="AI17" s="91">
        <v>3</v>
      </c>
      <c r="AJ17" s="91">
        <v>3</v>
      </c>
      <c r="AK17" s="91">
        <v>3</v>
      </c>
      <c r="AL17" s="91">
        <v>3</v>
      </c>
      <c r="AM17" s="91">
        <v>3</v>
      </c>
      <c r="AN17" s="91">
        <v>3</v>
      </c>
      <c r="AO17" s="91">
        <v>3</v>
      </c>
      <c r="AP17" s="91">
        <v>3</v>
      </c>
      <c r="AQ17" s="91">
        <v>3</v>
      </c>
      <c r="AR17" s="91">
        <v>3</v>
      </c>
      <c r="AS17" s="91">
        <v>3</v>
      </c>
      <c r="AU17" s="109">
        <f>SUMIFS(CALCS!$J$10:$J$14,CALCS!$H$10:$H$14,$AB17)/$Z17</f>
        <v>10.859724367834785</v>
      </c>
      <c r="AX17" s="3" t="s">
        <v>221</v>
      </c>
      <c r="AY17" t="s">
        <v>113</v>
      </c>
      <c r="AZ17" s="92">
        <v>0.99999999999999978</v>
      </c>
      <c r="BA17" s="92">
        <v>0.40238954012623979</v>
      </c>
      <c r="BB17" s="92">
        <v>0</v>
      </c>
      <c r="BC17" s="92">
        <v>0.99999999999999978</v>
      </c>
      <c r="BD17" s="92">
        <v>0.59847460174331224</v>
      </c>
      <c r="BE17" s="92">
        <v>0.29923730087165612</v>
      </c>
      <c r="BF17" s="92">
        <v>0.99999999999999978</v>
      </c>
      <c r="BG17" s="92">
        <v>0.59847460174331224</v>
      </c>
      <c r="BH17" s="92">
        <v>0.59847460174331224</v>
      </c>
      <c r="BI17" s="92">
        <v>0.99999999999999978</v>
      </c>
      <c r="BJ17" s="92">
        <v>0.59847460174331224</v>
      </c>
      <c r="BK17" s="92">
        <v>0.59847460174331224</v>
      </c>
      <c r="BL17" s="92">
        <v>0.99999999999999978</v>
      </c>
      <c r="BM17" s="92">
        <v>0.59847460174331224</v>
      </c>
      <c r="BN17" s="92">
        <v>0.59847460174331224</v>
      </c>
      <c r="BO17" s="92">
        <v>0.99999999999999978</v>
      </c>
      <c r="BP17" s="92">
        <v>0.59847460174331224</v>
      </c>
      <c r="BQ17" s="92">
        <v>0.59847460174331224</v>
      </c>
      <c r="BR17" s="92">
        <v>0.99999999999999978</v>
      </c>
      <c r="BS17" s="92">
        <v>0.59847460174331224</v>
      </c>
      <c r="BT17" s="92">
        <v>0.59847460174331224</v>
      </c>
      <c r="BU17" s="92">
        <v>0.99999999999999978</v>
      </c>
      <c r="BV17" s="92">
        <v>0.59847460174331224</v>
      </c>
      <c r="BW17" s="92">
        <v>0.59847460174331224</v>
      </c>
      <c r="BX17" s="92">
        <v>0.99999999999999978</v>
      </c>
      <c r="BY17" s="92">
        <v>0.59847460174331224</v>
      </c>
      <c r="BZ17" s="92">
        <v>0.59847460174331224</v>
      </c>
      <c r="CA17" s="92">
        <v>0.99999999999999978</v>
      </c>
      <c r="CB17" s="92">
        <v>0.59847460174331224</v>
      </c>
      <c r="CC17" s="92">
        <v>0.59847460174331224</v>
      </c>
      <c r="CD17" s="92">
        <v>0.99999999999999978</v>
      </c>
      <c r="CE17" s="92">
        <v>0.59847460174331224</v>
      </c>
      <c r="CF17" s="92">
        <v>0.59847460174331224</v>
      </c>
      <c r="CG17" s="92">
        <v>0.99999999999999978</v>
      </c>
      <c r="CH17" s="92">
        <v>0.59847460174331224</v>
      </c>
      <c r="CI17" s="92">
        <v>0.59847460174331224</v>
      </c>
      <c r="CJ17" s="92">
        <v>0.99999999999999978</v>
      </c>
      <c r="CK17" s="92">
        <v>0.59847460174331224</v>
      </c>
      <c r="CL17" s="92">
        <v>0.59847460174331224</v>
      </c>
      <c r="CM17" s="92">
        <v>0.99999999999999978</v>
      </c>
      <c r="CN17" s="92">
        <v>0.59847460174331224</v>
      </c>
      <c r="CO17" s="92">
        <v>0.59847460174331224</v>
      </c>
      <c r="CP17" s="92">
        <v>0.99999999999999978</v>
      </c>
      <c r="CQ17" s="92">
        <v>0.59847460174331224</v>
      </c>
      <c r="CR17" s="92">
        <v>0.59847460174331224</v>
      </c>
    </row>
    <row r="18" spans="1:96" x14ac:dyDescent="0.3">
      <c r="A18" s="3" t="str">
        <f>INDEX(Mapping!$Y:$Y,MATCH($C18,Mapping!$W:$W,0))</f>
        <v>Rural</v>
      </c>
      <c r="B18" s="3" t="str">
        <f>INDEX(Mapping!$V:$V,MATCH(C18,Mapping!$W:$W,0))</f>
        <v>SWV</v>
      </c>
      <c r="C18" t="s">
        <v>163</v>
      </c>
      <c r="D18">
        <v>4</v>
      </c>
      <c r="E18" s="20"/>
      <c r="F18" s="76">
        <v>111.41703377386197</v>
      </c>
      <c r="G18" s="76">
        <v>111.41703377386197</v>
      </c>
      <c r="H18" s="76">
        <v>110.49926578560941</v>
      </c>
      <c r="I18" s="76">
        <v>101.65932452276066</v>
      </c>
      <c r="J18" s="76">
        <v>91.935389133627012</v>
      </c>
      <c r="K18" s="76">
        <v>101.65932452276066</v>
      </c>
      <c r="L18" s="76">
        <v>94.587371512481639</v>
      </c>
      <c r="M18" s="76">
        <v>92.398317419229386</v>
      </c>
      <c r="N18" s="76">
        <v>91.935992631062291</v>
      </c>
      <c r="O18" s="76">
        <v>91.661546052529744</v>
      </c>
      <c r="P18" s="76">
        <v>91.433260728623992</v>
      </c>
      <c r="Q18" s="76">
        <v>91.193189042875218</v>
      </c>
      <c r="R18" s="76">
        <v>90.969027338117243</v>
      </c>
      <c r="S18" s="76">
        <v>90.821240955219324</v>
      </c>
      <c r="T18" s="76">
        <v>90.721122132832392</v>
      </c>
      <c r="U18" s="76">
        <v>90.676860440678198</v>
      </c>
      <c r="V18" s="76">
        <v>90.6533941837708</v>
      </c>
      <c r="Y18" s="3">
        <v>10</v>
      </c>
      <c r="Z18" s="3">
        <v>20</v>
      </c>
      <c r="AA18" s="3" t="s">
        <v>98</v>
      </c>
      <c r="AB18" s="3" t="s">
        <v>89</v>
      </c>
      <c r="AC18" s="18">
        <f t="shared" si="3"/>
        <v>34</v>
      </c>
      <c r="AE18" s="91">
        <v>10.859724367834783</v>
      </c>
      <c r="AF18" s="91">
        <v>3</v>
      </c>
      <c r="AG18" s="91">
        <v>3</v>
      </c>
      <c r="AH18" s="91">
        <v>3</v>
      </c>
      <c r="AI18" s="91">
        <v>3</v>
      </c>
      <c r="AJ18" s="91">
        <v>3</v>
      </c>
      <c r="AK18" s="91">
        <v>3</v>
      </c>
      <c r="AL18" s="91">
        <v>3</v>
      </c>
      <c r="AM18" s="91">
        <v>3</v>
      </c>
      <c r="AN18" s="91">
        <v>3</v>
      </c>
      <c r="AO18" s="91">
        <v>3</v>
      </c>
      <c r="AP18" s="91">
        <v>3</v>
      </c>
      <c r="AQ18" s="91">
        <v>3</v>
      </c>
      <c r="AR18" s="91">
        <v>3</v>
      </c>
      <c r="AS18" s="91">
        <v>3</v>
      </c>
      <c r="AU18" s="109">
        <f>SUMIFS(CALCS!$J$10:$J$14,CALCS!$H$10:$H$14,$AB18)/$Z18</f>
        <v>10.859724367834785</v>
      </c>
      <c r="AX18" s="3" t="s">
        <v>221</v>
      </c>
      <c r="AY18" t="s">
        <v>165</v>
      </c>
      <c r="AZ18" s="92">
        <v>1</v>
      </c>
      <c r="BA18" s="92">
        <v>0.21037124337065408</v>
      </c>
      <c r="BB18" s="92">
        <v>0</v>
      </c>
      <c r="BC18" s="92">
        <v>1</v>
      </c>
      <c r="BD18" s="92">
        <v>0.31288548418778239</v>
      </c>
      <c r="BE18" s="92">
        <v>0.1564427420938912</v>
      </c>
      <c r="BF18" s="92">
        <v>1</v>
      </c>
      <c r="BG18" s="92">
        <v>0.31288548418778239</v>
      </c>
      <c r="BH18" s="92">
        <v>0.31288548418778239</v>
      </c>
      <c r="BI18" s="92">
        <v>1</v>
      </c>
      <c r="BJ18" s="92">
        <v>0.31288548418778239</v>
      </c>
      <c r="BK18" s="92">
        <v>0.31288548418778239</v>
      </c>
      <c r="BL18" s="92">
        <v>1</v>
      </c>
      <c r="BM18" s="92">
        <v>0.31288548418778239</v>
      </c>
      <c r="BN18" s="92">
        <v>0.31288548418778239</v>
      </c>
      <c r="BO18" s="92">
        <v>1</v>
      </c>
      <c r="BP18" s="92">
        <v>0.31288548418778239</v>
      </c>
      <c r="BQ18" s="92">
        <v>0.31288548418778239</v>
      </c>
      <c r="BR18" s="92">
        <v>1</v>
      </c>
      <c r="BS18" s="92">
        <v>0.31288548418778239</v>
      </c>
      <c r="BT18" s="92">
        <v>0.31288548418778239</v>
      </c>
      <c r="BU18" s="92">
        <v>1</v>
      </c>
      <c r="BV18" s="92">
        <v>0.31288548418778239</v>
      </c>
      <c r="BW18" s="92">
        <v>0.31288548418778239</v>
      </c>
      <c r="BX18" s="92">
        <v>1</v>
      </c>
      <c r="BY18" s="92">
        <v>0.31288548418778239</v>
      </c>
      <c r="BZ18" s="92">
        <v>0.31288548418778239</v>
      </c>
      <c r="CA18" s="92">
        <v>1</v>
      </c>
      <c r="CB18" s="92">
        <v>0.31288548418778239</v>
      </c>
      <c r="CC18" s="92">
        <v>0.31288548418778239</v>
      </c>
      <c r="CD18" s="92">
        <v>1</v>
      </c>
      <c r="CE18" s="92">
        <v>0.31288548418778239</v>
      </c>
      <c r="CF18" s="92">
        <v>0.31288548418778239</v>
      </c>
      <c r="CG18" s="92">
        <v>1</v>
      </c>
      <c r="CH18" s="92">
        <v>0.31288548418778239</v>
      </c>
      <c r="CI18" s="92">
        <v>0.31288548418778239</v>
      </c>
      <c r="CJ18" s="92">
        <v>1</v>
      </c>
      <c r="CK18" s="92">
        <v>0.31288548418778239</v>
      </c>
      <c r="CL18" s="92">
        <v>0.31288548418778239</v>
      </c>
      <c r="CM18" s="92">
        <v>1</v>
      </c>
      <c r="CN18" s="92">
        <v>0.31288548418778239</v>
      </c>
      <c r="CO18" s="92">
        <v>0.31288548418778239</v>
      </c>
      <c r="CP18" s="92">
        <v>1</v>
      </c>
      <c r="CQ18" s="92">
        <v>0.31288548418778239</v>
      </c>
      <c r="CR18" s="92">
        <v>0.31288548418778239</v>
      </c>
    </row>
    <row r="19" spans="1:96" x14ac:dyDescent="0.3">
      <c r="A19" s="3" t="str">
        <f>INDEX(Mapping!$Y:$Y,MATCH($C19,Mapping!$W:$W,0))</f>
        <v>Rural</v>
      </c>
      <c r="B19" s="3" t="str">
        <f>INDEX(Mapping!$V:$V,MATCH(C19,Mapping!$W:$W,0))</f>
        <v>SWV</v>
      </c>
      <c r="C19" t="s">
        <v>163</v>
      </c>
      <c r="D19">
        <v>5</v>
      </c>
      <c r="E19" s="20"/>
      <c r="F19" s="76">
        <v>111.11600587371512</v>
      </c>
      <c r="G19" s="76">
        <v>109.93392070484582</v>
      </c>
      <c r="H19" s="76">
        <v>109.25844346549192</v>
      </c>
      <c r="I19" s="76">
        <v>110.49926578560941</v>
      </c>
      <c r="J19" s="76">
        <v>101.65932452276066</v>
      </c>
      <c r="K19" s="76">
        <v>91.935389133627012</v>
      </c>
      <c r="L19" s="76">
        <v>101.65932452276066</v>
      </c>
      <c r="M19" s="76">
        <v>94.587371512481639</v>
      </c>
      <c r="N19" s="76">
        <v>92.398317419229386</v>
      </c>
      <c r="O19" s="76">
        <v>91.935992631062291</v>
      </c>
      <c r="P19" s="76">
        <v>91.661546052529744</v>
      </c>
      <c r="Q19" s="76">
        <v>91.433260728623992</v>
      </c>
      <c r="R19" s="76">
        <v>91.193189042875218</v>
      </c>
      <c r="S19" s="76">
        <v>90.969027338117243</v>
      </c>
      <c r="T19" s="76">
        <v>90.821240955219324</v>
      </c>
      <c r="U19" s="76">
        <v>90.721122132832392</v>
      </c>
      <c r="V19" s="76">
        <v>90.676860440678198</v>
      </c>
      <c r="Y19" s="3">
        <v>10</v>
      </c>
      <c r="Z19" s="3">
        <v>20</v>
      </c>
      <c r="AA19" s="3" t="s">
        <v>98</v>
      </c>
      <c r="AB19" s="3" t="s">
        <v>89</v>
      </c>
      <c r="AC19" s="18">
        <f t="shared" si="3"/>
        <v>35</v>
      </c>
      <c r="AE19" s="91">
        <v>10.859724367834783</v>
      </c>
      <c r="AF19" s="91">
        <v>3</v>
      </c>
      <c r="AG19" s="91">
        <v>3</v>
      </c>
      <c r="AH19" s="91">
        <v>3</v>
      </c>
      <c r="AI19" s="91">
        <v>3</v>
      </c>
      <c r="AJ19" s="91">
        <v>3</v>
      </c>
      <c r="AK19" s="91">
        <v>3</v>
      </c>
      <c r="AL19" s="91">
        <v>3</v>
      </c>
      <c r="AM19" s="91">
        <v>3</v>
      </c>
      <c r="AN19" s="91">
        <v>3</v>
      </c>
      <c r="AO19" s="91">
        <v>3</v>
      </c>
      <c r="AP19" s="91">
        <v>3</v>
      </c>
      <c r="AQ19" s="91">
        <v>3</v>
      </c>
      <c r="AR19" s="91">
        <v>3</v>
      </c>
      <c r="AS19" s="91">
        <v>3</v>
      </c>
      <c r="AU19" s="109">
        <f>SUMIFS(CALCS!$J$10:$J$14,CALCS!$H$10:$H$14,$AB19)/$Z19</f>
        <v>10.859724367834785</v>
      </c>
      <c r="AX19" s="3" t="s">
        <v>221</v>
      </c>
      <c r="AY19" t="s">
        <v>131</v>
      </c>
      <c r="AZ19" s="92">
        <v>1</v>
      </c>
      <c r="BA19" s="92">
        <v>10.258620689655169</v>
      </c>
      <c r="BB19" s="92">
        <v>0</v>
      </c>
      <c r="BC19" s="92">
        <v>1</v>
      </c>
      <c r="BD19" s="92">
        <v>15.25766283524904</v>
      </c>
      <c r="BE19" s="92">
        <v>7.6288314176245198</v>
      </c>
      <c r="BF19" s="92">
        <v>1</v>
      </c>
      <c r="BG19" s="92">
        <v>15.25766283524904</v>
      </c>
      <c r="BH19" s="92">
        <v>15.25766283524904</v>
      </c>
      <c r="BI19" s="92">
        <v>1</v>
      </c>
      <c r="BJ19" s="92">
        <v>15.25766283524904</v>
      </c>
      <c r="BK19" s="92">
        <v>15.25766283524904</v>
      </c>
      <c r="BL19" s="92">
        <v>1</v>
      </c>
      <c r="BM19" s="92">
        <v>15.25766283524904</v>
      </c>
      <c r="BN19" s="92">
        <v>15.25766283524904</v>
      </c>
      <c r="BO19" s="92">
        <v>1</v>
      </c>
      <c r="BP19" s="92">
        <v>15.25766283524904</v>
      </c>
      <c r="BQ19" s="92">
        <v>15.25766283524904</v>
      </c>
      <c r="BR19" s="92">
        <v>1</v>
      </c>
      <c r="BS19" s="92">
        <v>15.25766283524904</v>
      </c>
      <c r="BT19" s="92">
        <v>15.25766283524904</v>
      </c>
      <c r="BU19" s="92">
        <v>1</v>
      </c>
      <c r="BV19" s="92">
        <v>15.25766283524904</v>
      </c>
      <c r="BW19" s="92">
        <v>15.25766283524904</v>
      </c>
      <c r="BX19" s="92">
        <v>1</v>
      </c>
      <c r="BY19" s="92">
        <v>15.25766283524904</v>
      </c>
      <c r="BZ19" s="92">
        <v>15.25766283524904</v>
      </c>
      <c r="CA19" s="92">
        <v>1</v>
      </c>
      <c r="CB19" s="92">
        <v>15.25766283524904</v>
      </c>
      <c r="CC19" s="92">
        <v>15.25766283524904</v>
      </c>
      <c r="CD19" s="92">
        <v>1</v>
      </c>
      <c r="CE19" s="92">
        <v>15.25766283524904</v>
      </c>
      <c r="CF19" s="92">
        <v>15.25766283524904</v>
      </c>
      <c r="CG19" s="92">
        <v>1</v>
      </c>
      <c r="CH19" s="92">
        <v>15.25766283524904</v>
      </c>
      <c r="CI19" s="92">
        <v>15.25766283524904</v>
      </c>
      <c r="CJ19" s="92">
        <v>1</v>
      </c>
      <c r="CK19" s="92">
        <v>15.25766283524904</v>
      </c>
      <c r="CL19" s="92">
        <v>15.25766283524904</v>
      </c>
      <c r="CM19" s="92">
        <v>1</v>
      </c>
      <c r="CN19" s="92">
        <v>15.25766283524904</v>
      </c>
      <c r="CO19" s="92">
        <v>15.25766283524904</v>
      </c>
      <c r="CP19" s="92">
        <v>1</v>
      </c>
      <c r="CQ19" s="92">
        <v>15.25766283524904</v>
      </c>
      <c r="CR19" s="92">
        <v>15.25766283524904</v>
      </c>
    </row>
    <row r="20" spans="1:96" x14ac:dyDescent="0.3">
      <c r="A20" s="3" t="str">
        <f>INDEX(Mapping!$Y:$Y,MATCH($C20,Mapping!$W:$W,0))</f>
        <v>Rural</v>
      </c>
      <c r="B20" s="3" t="str">
        <f>INDEX(Mapping!$V:$V,MATCH(C20,Mapping!$W:$W,0))</f>
        <v>SWV</v>
      </c>
      <c r="C20" t="s">
        <v>164</v>
      </c>
      <c r="D20">
        <v>0</v>
      </c>
      <c r="E20" s="20"/>
      <c r="F20" s="76">
        <v>1105.79364476516</v>
      </c>
      <c r="G20" s="76">
        <v>1141.6897075579186</v>
      </c>
      <c r="H20" s="76">
        <v>1143.1515381693885</v>
      </c>
      <c r="I20" s="76">
        <v>1347.6545052814031</v>
      </c>
      <c r="J20" s="76">
        <v>1374.8554163082276</v>
      </c>
      <c r="K20" s="76">
        <v>1403.1113192440014</v>
      </c>
      <c r="L20" s="76">
        <v>1431.5620707263315</v>
      </c>
      <c r="M20" s="76">
        <v>1459.9610275655309</v>
      </c>
      <c r="N20" s="76">
        <v>1488.4912799177171</v>
      </c>
      <c r="O20" s="76">
        <v>1517.3137358348799</v>
      </c>
      <c r="P20" s="76">
        <v>1546.2327951082075</v>
      </c>
      <c r="Q20" s="76">
        <v>1575.4137980515554</v>
      </c>
      <c r="R20" s="76">
        <v>1604.5402360083997</v>
      </c>
      <c r="S20" s="76">
        <v>1633.7154187740214</v>
      </c>
      <c r="T20" s="76">
        <v>1663.0026808205018</v>
      </c>
      <c r="U20" s="76">
        <v>1692.3846117938363</v>
      </c>
      <c r="V20" s="76">
        <v>1721.8164128578376</v>
      </c>
      <c r="Y20" s="3">
        <v>10</v>
      </c>
      <c r="Z20" s="3">
        <v>20</v>
      </c>
      <c r="AA20" s="3" t="s">
        <v>98</v>
      </c>
      <c r="AB20" s="3" t="s">
        <v>89</v>
      </c>
      <c r="AC20" s="18">
        <f t="shared" si="3"/>
        <v>36</v>
      </c>
      <c r="AE20" s="91">
        <v>10.859724367834783</v>
      </c>
      <c r="AF20" s="91">
        <v>3</v>
      </c>
      <c r="AG20" s="91">
        <v>3</v>
      </c>
      <c r="AH20" s="91">
        <v>3</v>
      </c>
      <c r="AI20" s="91">
        <v>3</v>
      </c>
      <c r="AJ20" s="91">
        <v>3</v>
      </c>
      <c r="AK20" s="91">
        <v>3</v>
      </c>
      <c r="AL20" s="91">
        <v>3</v>
      </c>
      <c r="AM20" s="91">
        <v>3</v>
      </c>
      <c r="AN20" s="91">
        <v>3</v>
      </c>
      <c r="AO20" s="91">
        <v>3</v>
      </c>
      <c r="AP20" s="91">
        <v>3</v>
      </c>
      <c r="AQ20" s="91">
        <v>3</v>
      </c>
      <c r="AR20" s="91">
        <v>3</v>
      </c>
      <c r="AS20" s="91">
        <v>3</v>
      </c>
      <c r="AU20" s="109">
        <f>SUMIFS(CALCS!$J$10:$J$14,CALCS!$H$10:$H$14,$AB20)/$Z20</f>
        <v>10.859724367834785</v>
      </c>
      <c r="AX20" s="3" t="s">
        <v>221</v>
      </c>
      <c r="AY20" t="s">
        <v>132</v>
      </c>
      <c r="AZ20" s="92">
        <v>1</v>
      </c>
      <c r="BA20" s="92">
        <v>1.5012615643397813</v>
      </c>
      <c r="BB20" s="92">
        <v>0</v>
      </c>
      <c r="BC20" s="92">
        <v>1</v>
      </c>
      <c r="BD20" s="92">
        <v>2.2328287075974207</v>
      </c>
      <c r="BE20" s="92">
        <v>1.1164143537987103</v>
      </c>
      <c r="BF20" s="92">
        <v>1</v>
      </c>
      <c r="BG20" s="92">
        <v>2.2328287075974207</v>
      </c>
      <c r="BH20" s="92">
        <v>2.2328287075974207</v>
      </c>
      <c r="BI20" s="92">
        <v>1</v>
      </c>
      <c r="BJ20" s="92">
        <v>2.2328287075974207</v>
      </c>
      <c r="BK20" s="92">
        <v>2.2328287075974207</v>
      </c>
      <c r="BL20" s="92">
        <v>1</v>
      </c>
      <c r="BM20" s="92">
        <v>2.2328287075974207</v>
      </c>
      <c r="BN20" s="92">
        <v>2.2328287075974207</v>
      </c>
      <c r="BO20" s="92">
        <v>1</v>
      </c>
      <c r="BP20" s="92">
        <v>2.2328287075974207</v>
      </c>
      <c r="BQ20" s="92">
        <v>2.2328287075974207</v>
      </c>
      <c r="BR20" s="92">
        <v>1</v>
      </c>
      <c r="BS20" s="92">
        <v>2.2328287075974207</v>
      </c>
      <c r="BT20" s="92">
        <v>2.2328287075974207</v>
      </c>
      <c r="BU20" s="92">
        <v>1</v>
      </c>
      <c r="BV20" s="92">
        <v>2.2328287075974207</v>
      </c>
      <c r="BW20" s="92">
        <v>2.2328287075974207</v>
      </c>
      <c r="BX20" s="92">
        <v>1</v>
      </c>
      <c r="BY20" s="92">
        <v>2.2328287075974207</v>
      </c>
      <c r="BZ20" s="92">
        <v>2.2328287075974207</v>
      </c>
      <c r="CA20" s="92">
        <v>1</v>
      </c>
      <c r="CB20" s="92">
        <v>2.2328287075974207</v>
      </c>
      <c r="CC20" s="92">
        <v>2.2328287075974207</v>
      </c>
      <c r="CD20" s="92">
        <v>1</v>
      </c>
      <c r="CE20" s="92">
        <v>2.2328287075974207</v>
      </c>
      <c r="CF20" s="92">
        <v>2.2328287075974207</v>
      </c>
      <c r="CG20" s="92">
        <v>1</v>
      </c>
      <c r="CH20" s="92">
        <v>2.2328287075974207</v>
      </c>
      <c r="CI20" s="92">
        <v>2.2328287075974207</v>
      </c>
      <c r="CJ20" s="92">
        <v>1</v>
      </c>
      <c r="CK20" s="92">
        <v>2.2328287075974207</v>
      </c>
      <c r="CL20" s="92">
        <v>2.2328287075974207</v>
      </c>
      <c r="CM20" s="92">
        <v>1</v>
      </c>
      <c r="CN20" s="92">
        <v>2.2328287075974207</v>
      </c>
      <c r="CO20" s="92">
        <v>2.2328287075974207</v>
      </c>
      <c r="CP20" s="92">
        <v>1</v>
      </c>
      <c r="CQ20" s="92">
        <v>2.2328287075974207</v>
      </c>
      <c r="CR20" s="92">
        <v>2.2328287075974207</v>
      </c>
    </row>
    <row r="21" spans="1:96" x14ac:dyDescent="0.3">
      <c r="A21" s="3" t="str">
        <f>INDEX(Mapping!$Y:$Y,MATCH($C21,Mapping!$W:$W,0))</f>
        <v>Rural</v>
      </c>
      <c r="B21" s="3" t="str">
        <f>INDEX(Mapping!$V:$V,MATCH(C21,Mapping!$W:$W,0))</f>
        <v>SWV</v>
      </c>
      <c r="C21" t="s">
        <v>164</v>
      </c>
      <c r="D21">
        <v>1</v>
      </c>
      <c r="E21" s="20"/>
      <c r="F21" s="76">
        <v>1130.7882010381061</v>
      </c>
      <c r="G21" s="76">
        <v>1167.4956323585263</v>
      </c>
      <c r="H21" s="76">
        <v>1168.9905051272312</v>
      </c>
      <c r="I21" s="76">
        <v>1143.1515381693885</v>
      </c>
      <c r="J21" s="76">
        <v>1347.6545052814031</v>
      </c>
      <c r="K21" s="76">
        <v>1374.8554163082276</v>
      </c>
      <c r="L21" s="76">
        <v>1403.1113192440014</v>
      </c>
      <c r="M21" s="76">
        <v>1431.5620707263315</v>
      </c>
      <c r="N21" s="76">
        <v>1459.9610275655309</v>
      </c>
      <c r="O21" s="76">
        <v>1488.4912799177171</v>
      </c>
      <c r="P21" s="76">
        <v>1517.3137358348799</v>
      </c>
      <c r="Q21" s="76">
        <v>1546.2327951082075</v>
      </c>
      <c r="R21" s="76">
        <v>1575.4137980515554</v>
      </c>
      <c r="S21" s="76">
        <v>1604.5402360083997</v>
      </c>
      <c r="T21" s="76">
        <v>1633.7154187740214</v>
      </c>
      <c r="U21" s="76">
        <v>1663.0026808205018</v>
      </c>
      <c r="V21" s="76">
        <v>1692.3846117938363</v>
      </c>
      <c r="Y21" s="3">
        <v>10</v>
      </c>
      <c r="Z21" s="3">
        <v>20</v>
      </c>
      <c r="AA21" s="3" t="s">
        <v>98</v>
      </c>
      <c r="AB21" s="3" t="s">
        <v>89</v>
      </c>
      <c r="AC21" s="18">
        <f t="shared" si="3"/>
        <v>37</v>
      </c>
      <c r="AE21" s="91">
        <v>10.859724367834783</v>
      </c>
      <c r="AF21" s="91">
        <v>3</v>
      </c>
      <c r="AG21" s="91">
        <v>3</v>
      </c>
      <c r="AH21" s="91">
        <v>3</v>
      </c>
      <c r="AI21" s="91">
        <v>3</v>
      </c>
      <c r="AJ21" s="91">
        <v>3</v>
      </c>
      <c r="AK21" s="91">
        <v>3</v>
      </c>
      <c r="AL21" s="91">
        <v>3</v>
      </c>
      <c r="AM21" s="91">
        <v>3</v>
      </c>
      <c r="AN21" s="91">
        <v>3</v>
      </c>
      <c r="AO21" s="91">
        <v>3</v>
      </c>
      <c r="AP21" s="91">
        <v>3</v>
      </c>
      <c r="AQ21" s="91">
        <v>3</v>
      </c>
      <c r="AR21" s="91">
        <v>3</v>
      </c>
      <c r="AS21" s="91">
        <v>3</v>
      </c>
      <c r="AU21" s="109">
        <f>SUMIFS(CALCS!$J$10:$J$14,CALCS!$H$10:$H$14,$AB21)/$Z21</f>
        <v>10.859724367834785</v>
      </c>
      <c r="AX21" s="3" t="s">
        <v>222</v>
      </c>
      <c r="AY21" t="s">
        <v>150</v>
      </c>
      <c r="AZ21" s="92">
        <v>0.99999999999999978</v>
      </c>
      <c r="BA21" s="92">
        <v>0.3199918732222673</v>
      </c>
      <c r="BB21" s="92">
        <v>0</v>
      </c>
      <c r="BC21" s="92">
        <v>0.99999999999999978</v>
      </c>
      <c r="BD21" s="92">
        <v>0.47592442096708648</v>
      </c>
      <c r="BE21" s="92">
        <v>0.23796221048354324</v>
      </c>
      <c r="BF21" s="92">
        <v>0.99999999999999978</v>
      </c>
      <c r="BG21" s="92">
        <v>0.47592442096708648</v>
      </c>
      <c r="BH21" s="92">
        <v>0.47592442096708648</v>
      </c>
      <c r="BI21" s="92">
        <v>0.99999999999999978</v>
      </c>
      <c r="BJ21" s="92">
        <v>0.47592442096708648</v>
      </c>
      <c r="BK21" s="92">
        <v>0.47592442096708648</v>
      </c>
      <c r="BL21" s="92">
        <v>0.99999999999999978</v>
      </c>
      <c r="BM21" s="92">
        <v>0.47592442096708648</v>
      </c>
      <c r="BN21" s="92">
        <v>0.47592442096708648</v>
      </c>
      <c r="BO21" s="92">
        <v>0.99999999999999978</v>
      </c>
      <c r="BP21" s="92">
        <v>0.47592442096708648</v>
      </c>
      <c r="BQ21" s="92">
        <v>0.47592442096708648</v>
      </c>
      <c r="BR21" s="92">
        <v>0.99999999999999978</v>
      </c>
      <c r="BS21" s="92">
        <v>0.47592442096708648</v>
      </c>
      <c r="BT21" s="92">
        <v>0.47592442096708648</v>
      </c>
      <c r="BU21" s="92">
        <v>0.99999999999999978</v>
      </c>
      <c r="BV21" s="92">
        <v>0.47592442096708648</v>
      </c>
      <c r="BW21" s="92">
        <v>0.47592442096708648</v>
      </c>
      <c r="BX21" s="92">
        <v>0.99999999999999978</v>
      </c>
      <c r="BY21" s="92">
        <v>0.47592442096708648</v>
      </c>
      <c r="BZ21" s="92">
        <v>0.47592442096708648</v>
      </c>
      <c r="CA21" s="92">
        <v>0.99999999999999978</v>
      </c>
      <c r="CB21" s="92">
        <v>0.47592442096708648</v>
      </c>
      <c r="CC21" s="92">
        <v>0.47592442096708648</v>
      </c>
      <c r="CD21" s="92">
        <v>0.99999999999999978</v>
      </c>
      <c r="CE21" s="92">
        <v>0.47592442096708648</v>
      </c>
      <c r="CF21" s="92">
        <v>0.47592442096708648</v>
      </c>
      <c r="CG21" s="92">
        <v>0.99999999999999978</v>
      </c>
      <c r="CH21" s="92">
        <v>0.47592442096708648</v>
      </c>
      <c r="CI21" s="92">
        <v>0.47592442096708648</v>
      </c>
      <c r="CJ21" s="92">
        <v>0.99999999999999978</v>
      </c>
      <c r="CK21" s="92">
        <v>0.47592442096708648</v>
      </c>
      <c r="CL21" s="92">
        <v>0.47592442096708648</v>
      </c>
      <c r="CM21" s="92">
        <v>0.99999999999999978</v>
      </c>
      <c r="CN21" s="92">
        <v>0.47592442096708648</v>
      </c>
      <c r="CO21" s="92">
        <v>0.47592442096708648</v>
      </c>
      <c r="CP21" s="92">
        <v>0.99999999999999978</v>
      </c>
      <c r="CQ21" s="92">
        <v>0.47592442096708648</v>
      </c>
      <c r="CR21" s="92">
        <v>0.47592442096708648</v>
      </c>
    </row>
    <row r="22" spans="1:96" x14ac:dyDescent="0.3">
      <c r="A22" s="3" t="str">
        <f>INDEX(Mapping!$Y:$Y,MATCH($C22,Mapping!$W:$W,0))</f>
        <v>Rural</v>
      </c>
      <c r="B22" s="3" t="str">
        <f>INDEX(Mapping!$V:$V,MATCH(C22,Mapping!$W:$W,0))</f>
        <v>SWV</v>
      </c>
      <c r="C22" t="s">
        <v>164</v>
      </c>
      <c r="D22">
        <v>2</v>
      </c>
      <c r="E22" s="20"/>
      <c r="F22" s="76">
        <v>1111.8268135206988</v>
      </c>
      <c r="G22" s="76">
        <v>1147.9187238890997</v>
      </c>
      <c r="H22" s="76">
        <v>1149.3885301936953</v>
      </c>
      <c r="I22" s="76">
        <v>1168.9905051272312</v>
      </c>
      <c r="J22" s="76">
        <v>1143.1515381693885</v>
      </c>
      <c r="K22" s="76">
        <v>1347.6545052814031</v>
      </c>
      <c r="L22" s="76">
        <v>1374.8554163082276</v>
      </c>
      <c r="M22" s="76">
        <v>1403.1113192440014</v>
      </c>
      <c r="N22" s="76">
        <v>1431.5620707263315</v>
      </c>
      <c r="O22" s="76">
        <v>1459.9610275655309</v>
      </c>
      <c r="P22" s="76">
        <v>1488.4912799177171</v>
      </c>
      <c r="Q22" s="76">
        <v>1517.3137358348799</v>
      </c>
      <c r="R22" s="76">
        <v>1546.2327951082075</v>
      </c>
      <c r="S22" s="76">
        <v>1575.4137980515554</v>
      </c>
      <c r="T22" s="76">
        <v>1604.5402360083997</v>
      </c>
      <c r="U22" s="76">
        <v>1633.7154187740214</v>
      </c>
      <c r="V22" s="76">
        <v>1663.0026808205018</v>
      </c>
      <c r="Y22" s="3">
        <v>10</v>
      </c>
      <c r="Z22" s="3">
        <v>20</v>
      </c>
      <c r="AA22" s="3" t="s">
        <v>98</v>
      </c>
      <c r="AB22" s="3" t="s">
        <v>89</v>
      </c>
      <c r="AC22" s="18">
        <f t="shared" si="3"/>
        <v>38</v>
      </c>
      <c r="AE22" s="91">
        <v>10.859724367834783</v>
      </c>
      <c r="AF22" s="91">
        <v>3</v>
      </c>
      <c r="AG22" s="91">
        <v>3</v>
      </c>
      <c r="AH22" s="91">
        <v>3</v>
      </c>
      <c r="AI22" s="91">
        <v>3</v>
      </c>
      <c r="AJ22" s="91">
        <v>3</v>
      </c>
      <c r="AK22" s="91">
        <v>3</v>
      </c>
      <c r="AL22" s="91">
        <v>3</v>
      </c>
      <c r="AM22" s="91">
        <v>3</v>
      </c>
      <c r="AN22" s="91">
        <v>3</v>
      </c>
      <c r="AO22" s="91">
        <v>3</v>
      </c>
      <c r="AP22" s="91">
        <v>3</v>
      </c>
      <c r="AQ22" s="91">
        <v>3</v>
      </c>
      <c r="AR22" s="91">
        <v>3</v>
      </c>
      <c r="AS22" s="91">
        <v>3</v>
      </c>
      <c r="AU22" s="109">
        <f>SUMIFS(CALCS!$J$10:$J$14,CALCS!$H$10:$H$14,$AB22)/$Z22</f>
        <v>10.859724367834785</v>
      </c>
      <c r="AX22" s="3" t="s">
        <v>222</v>
      </c>
      <c r="AY22" t="s">
        <v>151</v>
      </c>
      <c r="AZ22" s="92">
        <v>1</v>
      </c>
      <c r="BA22" s="92">
        <v>0.10576148267526188</v>
      </c>
      <c r="BB22" s="92">
        <v>0</v>
      </c>
      <c r="BC22" s="92">
        <v>1</v>
      </c>
      <c r="BD22" s="92">
        <v>0.15729922105828631</v>
      </c>
      <c r="BE22" s="92">
        <v>7.8649610529143155E-2</v>
      </c>
      <c r="BF22" s="92">
        <v>1</v>
      </c>
      <c r="BG22" s="92">
        <v>0.15729922105828631</v>
      </c>
      <c r="BH22" s="92">
        <v>0.15729922105828631</v>
      </c>
      <c r="BI22" s="92">
        <v>1</v>
      </c>
      <c r="BJ22" s="92">
        <v>0.15729922105828631</v>
      </c>
      <c r="BK22" s="92">
        <v>0.15729922105828631</v>
      </c>
      <c r="BL22" s="92">
        <v>1</v>
      </c>
      <c r="BM22" s="92">
        <v>0.15729922105828631</v>
      </c>
      <c r="BN22" s="92">
        <v>0.15729922105828631</v>
      </c>
      <c r="BO22" s="92">
        <v>1</v>
      </c>
      <c r="BP22" s="92">
        <v>0.15729922105828631</v>
      </c>
      <c r="BQ22" s="92">
        <v>0.15729922105828631</v>
      </c>
      <c r="BR22" s="92">
        <v>1</v>
      </c>
      <c r="BS22" s="92">
        <v>0.15729922105828631</v>
      </c>
      <c r="BT22" s="92">
        <v>0.15729922105828631</v>
      </c>
      <c r="BU22" s="92">
        <v>1</v>
      </c>
      <c r="BV22" s="92">
        <v>0.15729922105828631</v>
      </c>
      <c r="BW22" s="92">
        <v>0.15729922105828631</v>
      </c>
      <c r="BX22" s="92">
        <v>1</v>
      </c>
      <c r="BY22" s="92">
        <v>0.15729922105828631</v>
      </c>
      <c r="BZ22" s="92">
        <v>0.15729922105828631</v>
      </c>
      <c r="CA22" s="92">
        <v>1</v>
      </c>
      <c r="CB22" s="92">
        <v>0.15729922105828631</v>
      </c>
      <c r="CC22" s="92">
        <v>0.15729922105828631</v>
      </c>
      <c r="CD22" s="92">
        <v>1</v>
      </c>
      <c r="CE22" s="92">
        <v>0.15729922105828631</v>
      </c>
      <c r="CF22" s="92">
        <v>0.15729922105828631</v>
      </c>
      <c r="CG22" s="92">
        <v>1</v>
      </c>
      <c r="CH22" s="92">
        <v>0.15729922105828631</v>
      </c>
      <c r="CI22" s="92">
        <v>0.15729922105828631</v>
      </c>
      <c r="CJ22" s="92">
        <v>1</v>
      </c>
      <c r="CK22" s="92">
        <v>0.15729922105828631</v>
      </c>
      <c r="CL22" s="92">
        <v>0.15729922105828631</v>
      </c>
      <c r="CM22" s="92">
        <v>1</v>
      </c>
      <c r="CN22" s="92">
        <v>0.15729922105828631</v>
      </c>
      <c r="CO22" s="92">
        <v>0.15729922105828631</v>
      </c>
      <c r="CP22" s="92">
        <v>1</v>
      </c>
      <c r="CQ22" s="92">
        <v>0.15729922105828631</v>
      </c>
      <c r="CR22" s="92">
        <v>0.15729922105828631</v>
      </c>
    </row>
    <row r="23" spans="1:96" x14ac:dyDescent="0.3">
      <c r="A23" s="3" t="str">
        <f>INDEX(Mapping!$Y:$Y,MATCH($C23,Mapping!$W:$W,0))</f>
        <v>Rural</v>
      </c>
      <c r="B23" s="3" t="str">
        <f>INDEX(Mapping!$V:$V,MATCH(C23,Mapping!$W:$W,0))</f>
        <v>SWV</v>
      </c>
      <c r="C23" t="s">
        <v>164</v>
      </c>
      <c r="D23">
        <v>3</v>
      </c>
      <c r="E23" s="20"/>
      <c r="F23" s="76">
        <v>1180.777313583998</v>
      </c>
      <c r="G23" s="76">
        <v>1219.1074819597418</v>
      </c>
      <c r="H23" s="76">
        <v>1220.6684390429168</v>
      </c>
      <c r="I23" s="76">
        <v>1149.3885301936953</v>
      </c>
      <c r="J23" s="76">
        <v>1168.9905051272312</v>
      </c>
      <c r="K23" s="76">
        <v>1143.1515381693885</v>
      </c>
      <c r="L23" s="76">
        <v>1347.6545052814031</v>
      </c>
      <c r="M23" s="76">
        <v>1374.8554163082276</v>
      </c>
      <c r="N23" s="76">
        <v>1403.1113192440014</v>
      </c>
      <c r="O23" s="76">
        <v>1431.5620707263315</v>
      </c>
      <c r="P23" s="76">
        <v>1459.9610275655309</v>
      </c>
      <c r="Q23" s="76">
        <v>1488.4912799177171</v>
      </c>
      <c r="R23" s="76">
        <v>1517.3137358348799</v>
      </c>
      <c r="S23" s="76">
        <v>1546.2327951082075</v>
      </c>
      <c r="T23" s="76">
        <v>1575.4137980515554</v>
      </c>
      <c r="U23" s="76">
        <v>1604.5402360083997</v>
      </c>
      <c r="V23" s="76">
        <v>1633.7154187740214</v>
      </c>
      <c r="Y23" s="3">
        <v>10</v>
      </c>
      <c r="Z23" s="3">
        <v>20</v>
      </c>
      <c r="AA23" s="3" t="s">
        <v>98</v>
      </c>
      <c r="AB23" s="3" t="s">
        <v>89</v>
      </c>
      <c r="AC23" s="18">
        <f t="shared" si="3"/>
        <v>39</v>
      </c>
      <c r="AE23" s="91">
        <v>10.859724367834783</v>
      </c>
      <c r="AF23" s="91">
        <v>3</v>
      </c>
      <c r="AG23" s="91">
        <v>3</v>
      </c>
      <c r="AH23" s="91">
        <v>3</v>
      </c>
      <c r="AI23" s="91">
        <v>3</v>
      </c>
      <c r="AJ23" s="91">
        <v>3</v>
      </c>
      <c r="AK23" s="91">
        <v>3</v>
      </c>
      <c r="AL23" s="91">
        <v>3</v>
      </c>
      <c r="AM23" s="91">
        <v>3</v>
      </c>
      <c r="AN23" s="91">
        <v>3</v>
      </c>
      <c r="AO23" s="91">
        <v>3</v>
      </c>
      <c r="AP23" s="91">
        <v>3</v>
      </c>
      <c r="AQ23" s="91">
        <v>3</v>
      </c>
      <c r="AR23" s="91">
        <v>3</v>
      </c>
      <c r="AS23" s="91">
        <v>3</v>
      </c>
      <c r="AU23" s="109">
        <f>SUMIFS(CALCS!$J$10:$J$14,CALCS!$H$10:$H$14,$AB23)/$Z23</f>
        <v>10.859724367834785</v>
      </c>
      <c r="AX23" s="3" t="s">
        <v>221</v>
      </c>
      <c r="AY23" t="s">
        <v>133</v>
      </c>
      <c r="AZ23" s="92">
        <v>0.99999999999999967</v>
      </c>
      <c r="BA23" s="92">
        <v>4.9309392265193361</v>
      </c>
      <c r="BB23" s="92">
        <v>0</v>
      </c>
      <c r="BC23" s="92">
        <v>0.99999999999999967</v>
      </c>
      <c r="BD23" s="92">
        <v>7.3337937384898693</v>
      </c>
      <c r="BE23" s="92">
        <v>3.6668968692449346</v>
      </c>
      <c r="BF23" s="92">
        <v>0.99999999999999967</v>
      </c>
      <c r="BG23" s="92">
        <v>7.3337937384898693</v>
      </c>
      <c r="BH23" s="92">
        <v>7.3337937384898693</v>
      </c>
      <c r="BI23" s="92">
        <v>0.99999999999999967</v>
      </c>
      <c r="BJ23" s="92">
        <v>7.3337937384898693</v>
      </c>
      <c r="BK23" s="92">
        <v>7.3337937384898693</v>
      </c>
      <c r="BL23" s="92">
        <v>0.99999999999999967</v>
      </c>
      <c r="BM23" s="92">
        <v>7.3337937384898693</v>
      </c>
      <c r="BN23" s="92">
        <v>7.3337937384898693</v>
      </c>
      <c r="BO23" s="92">
        <v>0.99999999999999967</v>
      </c>
      <c r="BP23" s="92">
        <v>7.3337937384898693</v>
      </c>
      <c r="BQ23" s="92">
        <v>7.3337937384898693</v>
      </c>
      <c r="BR23" s="92">
        <v>0.99999999999999967</v>
      </c>
      <c r="BS23" s="92">
        <v>7.3337937384898693</v>
      </c>
      <c r="BT23" s="92">
        <v>7.3337937384898693</v>
      </c>
      <c r="BU23" s="92">
        <v>0.99999999999999967</v>
      </c>
      <c r="BV23" s="92">
        <v>7.3337937384898693</v>
      </c>
      <c r="BW23" s="92">
        <v>7.3337937384898693</v>
      </c>
      <c r="BX23" s="92">
        <v>0.99999999999999967</v>
      </c>
      <c r="BY23" s="92">
        <v>7.3337937384898693</v>
      </c>
      <c r="BZ23" s="92">
        <v>7.3337937384898693</v>
      </c>
      <c r="CA23" s="92">
        <v>0.99999999999999967</v>
      </c>
      <c r="CB23" s="92">
        <v>7.3337937384898693</v>
      </c>
      <c r="CC23" s="92">
        <v>7.3337937384898693</v>
      </c>
      <c r="CD23" s="92">
        <v>0.99999999999999967</v>
      </c>
      <c r="CE23" s="92">
        <v>7.3337937384898693</v>
      </c>
      <c r="CF23" s="92">
        <v>7.3337937384898693</v>
      </c>
      <c r="CG23" s="92">
        <v>0.99999999999999967</v>
      </c>
      <c r="CH23" s="92">
        <v>7.3337937384898693</v>
      </c>
      <c r="CI23" s="92">
        <v>7.3337937384898693</v>
      </c>
      <c r="CJ23" s="92">
        <v>0.99999999999999967</v>
      </c>
      <c r="CK23" s="92">
        <v>7.3337937384898693</v>
      </c>
      <c r="CL23" s="92">
        <v>7.3337937384898693</v>
      </c>
      <c r="CM23" s="92">
        <v>0.99999999999999967</v>
      </c>
      <c r="CN23" s="92">
        <v>7.3337937384898693</v>
      </c>
      <c r="CO23" s="92">
        <v>7.3337937384898693</v>
      </c>
      <c r="CP23" s="92">
        <v>0.99999999999999967</v>
      </c>
      <c r="CQ23" s="92">
        <v>7.3337937384898693</v>
      </c>
      <c r="CR23" s="92">
        <v>7.3337937384898693</v>
      </c>
    </row>
    <row r="24" spans="1:96" x14ac:dyDescent="0.3">
      <c r="A24" s="3" t="str">
        <f>INDEX(Mapping!$Y:$Y,MATCH($C24,Mapping!$W:$W,0))</f>
        <v>Rural</v>
      </c>
      <c r="B24" s="3" t="str">
        <f>INDEX(Mapping!$V:$V,MATCH(C24,Mapping!$W:$W,0))</f>
        <v>SWV</v>
      </c>
      <c r="C24" t="s">
        <v>164</v>
      </c>
      <c r="D24">
        <v>4</v>
      </c>
      <c r="E24" s="20"/>
      <c r="F24" s="76">
        <v>1173.882263577668</v>
      </c>
      <c r="G24" s="76">
        <v>1211.9886061526774</v>
      </c>
      <c r="H24" s="76">
        <v>1213.5404481579947</v>
      </c>
      <c r="I24" s="76">
        <v>1220.6684390429168</v>
      </c>
      <c r="J24" s="76">
        <v>1149.3885301936953</v>
      </c>
      <c r="K24" s="76">
        <v>1168.9905051272312</v>
      </c>
      <c r="L24" s="76">
        <v>1143.1515381693885</v>
      </c>
      <c r="M24" s="76">
        <v>1347.6545052814031</v>
      </c>
      <c r="N24" s="76">
        <v>1374.8554163082276</v>
      </c>
      <c r="O24" s="76">
        <v>1403.1113192440014</v>
      </c>
      <c r="P24" s="76">
        <v>1431.5620707263315</v>
      </c>
      <c r="Q24" s="76">
        <v>1459.9610275655309</v>
      </c>
      <c r="R24" s="76">
        <v>1488.4912799177171</v>
      </c>
      <c r="S24" s="76">
        <v>1517.3137358348799</v>
      </c>
      <c r="T24" s="76">
        <v>1546.2327951082075</v>
      </c>
      <c r="U24" s="76">
        <v>1575.4137980515554</v>
      </c>
      <c r="V24" s="76">
        <v>1604.5402360083997</v>
      </c>
      <c r="Y24" s="3">
        <v>10</v>
      </c>
      <c r="Z24" s="3">
        <v>20</v>
      </c>
      <c r="AA24" s="3" t="s">
        <v>100</v>
      </c>
      <c r="AB24" s="3" t="s">
        <v>89</v>
      </c>
      <c r="AC24" s="18">
        <f t="shared" si="3"/>
        <v>40</v>
      </c>
      <c r="AE24" s="91">
        <v>10.859724367834783</v>
      </c>
      <c r="AF24" s="91">
        <v>1.5</v>
      </c>
      <c r="AG24" s="91">
        <v>1.5</v>
      </c>
      <c r="AH24" s="91">
        <v>1.5</v>
      </c>
      <c r="AI24" s="91">
        <v>1.5</v>
      </c>
      <c r="AJ24" s="91">
        <v>1.5</v>
      </c>
      <c r="AK24" s="91">
        <v>1.5</v>
      </c>
      <c r="AL24" s="91">
        <v>1.5</v>
      </c>
      <c r="AM24" s="91">
        <v>1.5</v>
      </c>
      <c r="AN24" s="91">
        <v>1.5</v>
      </c>
      <c r="AO24" s="91">
        <v>1.5</v>
      </c>
      <c r="AP24" s="91">
        <v>1.5</v>
      </c>
      <c r="AQ24" s="91">
        <v>1.5</v>
      </c>
      <c r="AR24" s="91">
        <v>1.5</v>
      </c>
      <c r="AS24" s="91">
        <v>1.5</v>
      </c>
      <c r="AU24" s="109">
        <f>SUMIFS(CALCS!$J$10:$J$14,CALCS!$H$10:$H$14,$AB24)/$Z24</f>
        <v>10.859724367834785</v>
      </c>
      <c r="AX24" s="3" t="s">
        <v>221</v>
      </c>
      <c r="AY24" t="s">
        <v>166</v>
      </c>
      <c r="AZ24" s="92">
        <v>0.99999999999999978</v>
      </c>
      <c r="BA24" s="92">
        <v>2.5391180654338541</v>
      </c>
      <c r="BB24" s="92">
        <v>0</v>
      </c>
      <c r="BC24" s="92">
        <v>0.99999999999999978</v>
      </c>
      <c r="BD24" s="92">
        <v>3.776434329065907</v>
      </c>
      <c r="BE24" s="92">
        <v>1.8882171645329535</v>
      </c>
      <c r="BF24" s="92">
        <v>0.99999999999999978</v>
      </c>
      <c r="BG24" s="92">
        <v>3.776434329065907</v>
      </c>
      <c r="BH24" s="92">
        <v>3.776434329065907</v>
      </c>
      <c r="BI24" s="92">
        <v>0.99999999999999978</v>
      </c>
      <c r="BJ24" s="92">
        <v>3.776434329065907</v>
      </c>
      <c r="BK24" s="92">
        <v>3.776434329065907</v>
      </c>
      <c r="BL24" s="92">
        <v>0.99999999999999978</v>
      </c>
      <c r="BM24" s="92">
        <v>3.776434329065907</v>
      </c>
      <c r="BN24" s="92">
        <v>3.776434329065907</v>
      </c>
      <c r="BO24" s="92">
        <v>0.99999999999999978</v>
      </c>
      <c r="BP24" s="92">
        <v>3.776434329065907</v>
      </c>
      <c r="BQ24" s="92">
        <v>3.776434329065907</v>
      </c>
      <c r="BR24" s="92">
        <v>0.99999999999999978</v>
      </c>
      <c r="BS24" s="92">
        <v>3.776434329065907</v>
      </c>
      <c r="BT24" s="92">
        <v>3.776434329065907</v>
      </c>
      <c r="BU24" s="92">
        <v>0.99999999999999978</v>
      </c>
      <c r="BV24" s="92">
        <v>3.776434329065907</v>
      </c>
      <c r="BW24" s="92">
        <v>3.776434329065907</v>
      </c>
      <c r="BX24" s="92">
        <v>0.99999999999999978</v>
      </c>
      <c r="BY24" s="92">
        <v>3.776434329065907</v>
      </c>
      <c r="BZ24" s="92">
        <v>3.776434329065907</v>
      </c>
      <c r="CA24" s="92">
        <v>0.99999999999999978</v>
      </c>
      <c r="CB24" s="92">
        <v>3.776434329065907</v>
      </c>
      <c r="CC24" s="92">
        <v>3.776434329065907</v>
      </c>
      <c r="CD24" s="92">
        <v>0.99999999999999978</v>
      </c>
      <c r="CE24" s="92">
        <v>3.776434329065907</v>
      </c>
      <c r="CF24" s="92">
        <v>3.776434329065907</v>
      </c>
      <c r="CG24" s="92">
        <v>0.99999999999999978</v>
      </c>
      <c r="CH24" s="92">
        <v>3.776434329065907</v>
      </c>
      <c r="CI24" s="92">
        <v>3.776434329065907</v>
      </c>
      <c r="CJ24" s="92">
        <v>0.99999999999999978</v>
      </c>
      <c r="CK24" s="92">
        <v>3.776434329065907</v>
      </c>
      <c r="CL24" s="92">
        <v>3.776434329065907</v>
      </c>
      <c r="CM24" s="92">
        <v>0.99999999999999978</v>
      </c>
      <c r="CN24" s="92">
        <v>3.776434329065907</v>
      </c>
      <c r="CO24" s="92">
        <v>3.776434329065907</v>
      </c>
      <c r="CP24" s="92">
        <v>0.99999999999999978</v>
      </c>
      <c r="CQ24" s="92">
        <v>3.776434329065907</v>
      </c>
      <c r="CR24" s="92">
        <v>3.776434329065907</v>
      </c>
    </row>
    <row r="25" spans="1:96" x14ac:dyDescent="0.3">
      <c r="A25" s="3" t="str">
        <f>INDEX(Mapping!$Y:$Y,MATCH($C25,Mapping!$W:$W,0))</f>
        <v>Rural</v>
      </c>
      <c r="B25" s="3" t="str">
        <f>INDEX(Mapping!$V:$V,MATCH(C25,Mapping!$W:$W,0))</f>
        <v>SWV</v>
      </c>
      <c r="C25" t="s">
        <v>164</v>
      </c>
      <c r="D25">
        <v>5</v>
      </c>
      <c r="E25" s="20"/>
      <c r="F25" s="76">
        <v>1105.4186605899481</v>
      </c>
      <c r="G25" s="76">
        <v>1126.6798328902394</v>
      </c>
      <c r="H25" s="76">
        <v>1144.6950246866693</v>
      </c>
      <c r="I25" s="76">
        <v>1213.5404481579947</v>
      </c>
      <c r="J25" s="76">
        <v>1220.6684390429168</v>
      </c>
      <c r="K25" s="76">
        <v>1149.3885301936953</v>
      </c>
      <c r="L25" s="76">
        <v>1168.9905051272312</v>
      </c>
      <c r="M25" s="76">
        <v>1143.1515381693885</v>
      </c>
      <c r="N25" s="76">
        <v>1347.6545052814031</v>
      </c>
      <c r="O25" s="76">
        <v>1374.8554163082276</v>
      </c>
      <c r="P25" s="76">
        <v>1403.1113192440014</v>
      </c>
      <c r="Q25" s="76">
        <v>1431.5620707263315</v>
      </c>
      <c r="R25" s="76">
        <v>1459.9610275655309</v>
      </c>
      <c r="S25" s="76">
        <v>1488.4912799177171</v>
      </c>
      <c r="T25" s="76">
        <v>1517.3137358348799</v>
      </c>
      <c r="U25" s="76">
        <v>1546.2327951082075</v>
      </c>
      <c r="V25" s="76">
        <v>1575.4137980515554</v>
      </c>
      <c r="Y25" s="3">
        <v>10</v>
      </c>
      <c r="Z25" s="3">
        <v>20</v>
      </c>
      <c r="AA25" s="3" t="s">
        <v>100</v>
      </c>
      <c r="AB25" s="3" t="s">
        <v>89</v>
      </c>
      <c r="AC25" s="18">
        <f t="shared" si="3"/>
        <v>41</v>
      </c>
      <c r="AE25" s="91">
        <v>10.859724367834783</v>
      </c>
      <c r="AF25" s="91">
        <v>1.5</v>
      </c>
      <c r="AG25" s="91">
        <v>1.5</v>
      </c>
      <c r="AH25" s="91">
        <v>1.5</v>
      </c>
      <c r="AI25" s="91">
        <v>1.5</v>
      </c>
      <c r="AJ25" s="91">
        <v>1.5</v>
      </c>
      <c r="AK25" s="91">
        <v>1.5</v>
      </c>
      <c r="AL25" s="91">
        <v>1.5</v>
      </c>
      <c r="AM25" s="91">
        <v>1.5</v>
      </c>
      <c r="AN25" s="91">
        <v>1.5</v>
      </c>
      <c r="AO25" s="91">
        <v>1.5</v>
      </c>
      <c r="AP25" s="91">
        <v>1.5</v>
      </c>
      <c r="AQ25" s="91">
        <v>1.5</v>
      </c>
      <c r="AR25" s="91">
        <v>1.5</v>
      </c>
      <c r="AS25" s="91">
        <v>1.5</v>
      </c>
      <c r="AU25" s="109">
        <f>SUMIFS(CALCS!$J$10:$J$14,CALCS!$H$10:$H$14,$AB25)/$Z25</f>
        <v>10.859724367834785</v>
      </c>
      <c r="AX25" s="3" t="s">
        <v>221</v>
      </c>
      <c r="AY25" t="s">
        <v>167</v>
      </c>
      <c r="AZ25" s="92">
        <v>0.99999999999999978</v>
      </c>
      <c r="BA25" s="92">
        <v>3.9491150442477867</v>
      </c>
      <c r="BB25" s="92">
        <v>0</v>
      </c>
      <c r="BC25" s="92">
        <v>0.99999999999999978</v>
      </c>
      <c r="BD25" s="92">
        <v>5.8735250737463112</v>
      </c>
      <c r="BE25" s="92">
        <v>2.9367625368731556</v>
      </c>
      <c r="BF25" s="92">
        <v>0.99999999999999978</v>
      </c>
      <c r="BG25" s="92">
        <v>5.8735250737463112</v>
      </c>
      <c r="BH25" s="92">
        <v>5.8735250737463112</v>
      </c>
      <c r="BI25" s="92">
        <v>0.99999999999999978</v>
      </c>
      <c r="BJ25" s="92">
        <v>5.8735250737463112</v>
      </c>
      <c r="BK25" s="92">
        <v>5.8735250737463112</v>
      </c>
      <c r="BL25" s="92">
        <v>0.99999999999999978</v>
      </c>
      <c r="BM25" s="92">
        <v>5.8735250737463112</v>
      </c>
      <c r="BN25" s="92">
        <v>5.8735250737463112</v>
      </c>
      <c r="BO25" s="92">
        <v>0.99999999999999978</v>
      </c>
      <c r="BP25" s="92">
        <v>5.8735250737463112</v>
      </c>
      <c r="BQ25" s="92">
        <v>5.8735250737463112</v>
      </c>
      <c r="BR25" s="92">
        <v>0.99999999999999978</v>
      </c>
      <c r="BS25" s="92">
        <v>5.8735250737463112</v>
      </c>
      <c r="BT25" s="92">
        <v>5.8735250737463112</v>
      </c>
      <c r="BU25" s="92">
        <v>0.99999999999999978</v>
      </c>
      <c r="BV25" s="92">
        <v>5.8735250737463112</v>
      </c>
      <c r="BW25" s="92">
        <v>5.8735250737463112</v>
      </c>
      <c r="BX25" s="92">
        <v>0.99999999999999978</v>
      </c>
      <c r="BY25" s="92">
        <v>5.8735250737463112</v>
      </c>
      <c r="BZ25" s="92">
        <v>5.8735250737463112</v>
      </c>
      <c r="CA25" s="92">
        <v>0.99999999999999978</v>
      </c>
      <c r="CB25" s="92">
        <v>5.8735250737463112</v>
      </c>
      <c r="CC25" s="92">
        <v>5.8735250737463112</v>
      </c>
      <c r="CD25" s="92">
        <v>0.99999999999999978</v>
      </c>
      <c r="CE25" s="92">
        <v>5.8735250737463112</v>
      </c>
      <c r="CF25" s="92">
        <v>5.8735250737463112</v>
      </c>
      <c r="CG25" s="92">
        <v>0.99999999999999978</v>
      </c>
      <c r="CH25" s="92">
        <v>5.8735250737463112</v>
      </c>
      <c r="CI25" s="92">
        <v>5.8735250737463112</v>
      </c>
      <c r="CJ25" s="92">
        <v>0.99999999999999978</v>
      </c>
      <c r="CK25" s="92">
        <v>5.8735250737463112</v>
      </c>
      <c r="CL25" s="92">
        <v>5.8735250737463112</v>
      </c>
      <c r="CM25" s="92">
        <v>0.99999999999999978</v>
      </c>
      <c r="CN25" s="92">
        <v>5.8735250737463112</v>
      </c>
      <c r="CO25" s="92">
        <v>5.8735250737463112</v>
      </c>
      <c r="CP25" s="92">
        <v>0.99999999999999978</v>
      </c>
      <c r="CQ25" s="92">
        <v>5.8735250737463112</v>
      </c>
      <c r="CR25" s="92">
        <v>5.8735250737463112</v>
      </c>
    </row>
    <row r="26" spans="1:96" x14ac:dyDescent="0.3">
      <c r="A26" s="3" t="str">
        <f>INDEX(Mapping!$Y:$Y,MATCH($C26,Mapping!$W:$W,0))</f>
        <v>Metro</v>
      </c>
      <c r="B26" s="3" t="str">
        <f>INDEX(Mapping!$V:$V,MATCH(C26,Mapping!$W:$W,0))</f>
        <v>NWV</v>
      </c>
      <c r="C26" t="s">
        <v>130</v>
      </c>
      <c r="D26">
        <v>0</v>
      </c>
      <c r="E26" s="20"/>
      <c r="F26" s="76">
        <v>1376.1099741490737</v>
      </c>
      <c r="G26" s="76">
        <v>1393.9665015079706</v>
      </c>
      <c r="H26" s="76">
        <v>1396.7772511848341</v>
      </c>
      <c r="I26" s="76">
        <v>1624.3199333300663</v>
      </c>
      <c r="J26" s="76">
        <v>1639.6957506491517</v>
      </c>
      <c r="K26" s="76">
        <v>1655.5328410698048</v>
      </c>
      <c r="L26" s="76">
        <v>1670.2728046683217</v>
      </c>
      <c r="M26" s="76">
        <v>1684.5585862443741</v>
      </c>
      <c r="N26" s="76">
        <v>1698.2285073690573</v>
      </c>
      <c r="O26" s="76">
        <v>1712.4374679510624</v>
      </c>
      <c r="P26" s="76">
        <v>1726.3645300409012</v>
      </c>
      <c r="Q26" s="76">
        <v>1740.6005592785793</v>
      </c>
      <c r="R26" s="76">
        <v>1755.3450839169193</v>
      </c>
      <c r="S26" s="76">
        <v>1770.4784457938665</v>
      </c>
      <c r="T26" s="76">
        <v>1785.7413203384749</v>
      </c>
      <c r="U26" s="76">
        <v>1801.3427223088972</v>
      </c>
      <c r="V26" s="76">
        <v>1817.5186953580339</v>
      </c>
      <c r="Y26" s="3">
        <v>10</v>
      </c>
      <c r="Z26" s="3">
        <v>20</v>
      </c>
      <c r="AA26" s="3" t="s">
        <v>100</v>
      </c>
      <c r="AB26" s="3" t="s">
        <v>89</v>
      </c>
      <c r="AC26" s="18">
        <f t="shared" si="3"/>
        <v>42</v>
      </c>
      <c r="AE26" s="91">
        <v>10.859724367834783</v>
      </c>
      <c r="AF26" s="91">
        <v>1.5</v>
      </c>
      <c r="AG26" s="91">
        <v>1.5</v>
      </c>
      <c r="AH26" s="91">
        <v>1.5</v>
      </c>
      <c r="AI26" s="91">
        <v>1.5</v>
      </c>
      <c r="AJ26" s="91">
        <v>1.5</v>
      </c>
      <c r="AK26" s="91">
        <v>1.5</v>
      </c>
      <c r="AL26" s="91">
        <v>1.5</v>
      </c>
      <c r="AM26" s="91">
        <v>1.5</v>
      </c>
      <c r="AN26" s="91">
        <v>1.5</v>
      </c>
      <c r="AO26" s="91">
        <v>1.5</v>
      </c>
      <c r="AP26" s="91">
        <v>1.5</v>
      </c>
      <c r="AQ26" s="91">
        <v>1.5</v>
      </c>
      <c r="AR26" s="91">
        <v>1.5</v>
      </c>
      <c r="AS26" s="91">
        <v>1.5</v>
      </c>
      <c r="AU26" s="109">
        <f>SUMIFS(CALCS!$J$10:$J$14,CALCS!$H$10:$H$14,$AB26)/$Z26</f>
        <v>10.859724367834785</v>
      </c>
      <c r="AX26" s="3" t="s">
        <v>221</v>
      </c>
      <c r="AY26" t="s">
        <v>134</v>
      </c>
      <c r="AZ26" s="92">
        <v>0.99999999999999978</v>
      </c>
      <c r="BA26" s="92">
        <v>0.31464833421470118</v>
      </c>
      <c r="BB26" s="92">
        <v>0</v>
      </c>
      <c r="BC26" s="92">
        <v>0.99999999999999978</v>
      </c>
      <c r="BD26" s="92">
        <v>0.46797696691932533</v>
      </c>
      <c r="BE26" s="92">
        <v>0.23398848345966267</v>
      </c>
      <c r="BF26" s="92">
        <v>0.99999999999999978</v>
      </c>
      <c r="BG26" s="92">
        <v>0.46797696691932533</v>
      </c>
      <c r="BH26" s="92">
        <v>0.46797696691932533</v>
      </c>
      <c r="BI26" s="92">
        <v>0.99999999999999978</v>
      </c>
      <c r="BJ26" s="92">
        <v>0.46797696691932533</v>
      </c>
      <c r="BK26" s="92">
        <v>0.46797696691932533</v>
      </c>
      <c r="BL26" s="92">
        <v>0.99999999999999978</v>
      </c>
      <c r="BM26" s="92">
        <v>0.46797696691932533</v>
      </c>
      <c r="BN26" s="92">
        <v>0.46797696691932533</v>
      </c>
      <c r="BO26" s="92">
        <v>0.99999999999999978</v>
      </c>
      <c r="BP26" s="92">
        <v>0.46797696691932533</v>
      </c>
      <c r="BQ26" s="92">
        <v>0.46797696691932533</v>
      </c>
      <c r="BR26" s="92">
        <v>0.99999999999999978</v>
      </c>
      <c r="BS26" s="92">
        <v>0.46797696691932533</v>
      </c>
      <c r="BT26" s="92">
        <v>0.46797696691932533</v>
      </c>
      <c r="BU26" s="92">
        <v>0.99999999999999978</v>
      </c>
      <c r="BV26" s="92">
        <v>0.46797696691932533</v>
      </c>
      <c r="BW26" s="92">
        <v>0.46797696691932533</v>
      </c>
      <c r="BX26" s="92">
        <v>0.99999999999999978</v>
      </c>
      <c r="BY26" s="92">
        <v>0.46797696691932533</v>
      </c>
      <c r="BZ26" s="92">
        <v>0.46797696691932533</v>
      </c>
      <c r="CA26" s="92">
        <v>0.99999999999999978</v>
      </c>
      <c r="CB26" s="92">
        <v>0.46797696691932533</v>
      </c>
      <c r="CC26" s="92">
        <v>0.46797696691932533</v>
      </c>
      <c r="CD26" s="92">
        <v>0.99999999999999978</v>
      </c>
      <c r="CE26" s="92">
        <v>0.46797696691932533</v>
      </c>
      <c r="CF26" s="92">
        <v>0.46797696691932533</v>
      </c>
      <c r="CG26" s="92">
        <v>0.99999999999999978</v>
      </c>
      <c r="CH26" s="92">
        <v>0.46797696691932533</v>
      </c>
      <c r="CI26" s="92">
        <v>0.46797696691932533</v>
      </c>
      <c r="CJ26" s="92">
        <v>0.99999999999999978</v>
      </c>
      <c r="CK26" s="92">
        <v>0.46797696691932533</v>
      </c>
      <c r="CL26" s="92">
        <v>0.46797696691932533</v>
      </c>
      <c r="CM26" s="92">
        <v>0.99999999999999978</v>
      </c>
      <c r="CN26" s="92">
        <v>0.46797696691932533</v>
      </c>
      <c r="CO26" s="92">
        <v>0.46797696691932533</v>
      </c>
      <c r="CP26" s="92">
        <v>0.99999999999999978</v>
      </c>
      <c r="CQ26" s="92">
        <v>0.46797696691932533</v>
      </c>
      <c r="CR26" s="92">
        <v>0.46797696691932533</v>
      </c>
    </row>
    <row r="27" spans="1:96" x14ac:dyDescent="0.3">
      <c r="A27" s="3" t="str">
        <f>INDEX(Mapping!$Y:$Y,MATCH($C27,Mapping!$W:$W,0))</f>
        <v>Metro</v>
      </c>
      <c r="B27" s="3" t="str">
        <f>INDEX(Mapping!$V:$V,MATCH(C27,Mapping!$W:$W,0))</f>
        <v>NWV</v>
      </c>
      <c r="C27" t="s">
        <v>130</v>
      </c>
      <c r="D27">
        <v>1</v>
      </c>
      <c r="E27" s="20"/>
      <c r="F27" s="76">
        <v>1365.352111158983</v>
      </c>
      <c r="G27" s="76">
        <v>1383.069043515726</v>
      </c>
      <c r="H27" s="76">
        <v>1385.8578199052131</v>
      </c>
      <c r="I27" s="76">
        <v>1396.7772511848341</v>
      </c>
      <c r="J27" s="76">
        <v>1624.3199333300663</v>
      </c>
      <c r="K27" s="76">
        <v>1639.6957506491517</v>
      </c>
      <c r="L27" s="76">
        <v>1655.5328410698048</v>
      </c>
      <c r="M27" s="76">
        <v>1670.2728046683217</v>
      </c>
      <c r="N27" s="76">
        <v>1684.5585862443741</v>
      </c>
      <c r="O27" s="76">
        <v>1698.2285073690573</v>
      </c>
      <c r="P27" s="76">
        <v>1712.4374679510624</v>
      </c>
      <c r="Q27" s="76">
        <v>1726.3645300409012</v>
      </c>
      <c r="R27" s="76">
        <v>1740.6005592785793</v>
      </c>
      <c r="S27" s="76">
        <v>1755.3450839169193</v>
      </c>
      <c r="T27" s="76">
        <v>1770.4784457938665</v>
      </c>
      <c r="U27" s="76">
        <v>1785.7413203384749</v>
      </c>
      <c r="V27" s="76">
        <v>1801.3427223088972</v>
      </c>
      <c r="Y27" s="3">
        <v>10</v>
      </c>
      <c r="Z27" s="3">
        <v>20</v>
      </c>
      <c r="AA27" s="3" t="s">
        <v>100</v>
      </c>
      <c r="AB27" s="3" t="s">
        <v>89</v>
      </c>
      <c r="AC27" s="18">
        <f t="shared" si="3"/>
        <v>43</v>
      </c>
      <c r="AE27" s="91">
        <v>10.859724367834783</v>
      </c>
      <c r="AF27" s="91">
        <v>1.5</v>
      </c>
      <c r="AG27" s="91">
        <v>1.5</v>
      </c>
      <c r="AH27" s="91">
        <v>1.5</v>
      </c>
      <c r="AI27" s="91">
        <v>1.5</v>
      </c>
      <c r="AJ27" s="91">
        <v>1.5</v>
      </c>
      <c r="AK27" s="91">
        <v>1.5</v>
      </c>
      <c r="AL27" s="91">
        <v>1.5</v>
      </c>
      <c r="AM27" s="91">
        <v>1.5</v>
      </c>
      <c r="AN27" s="91">
        <v>1.5</v>
      </c>
      <c r="AO27" s="91">
        <v>1.5</v>
      </c>
      <c r="AP27" s="91">
        <v>1.5</v>
      </c>
      <c r="AQ27" s="91">
        <v>1.5</v>
      </c>
      <c r="AR27" s="91">
        <v>1.5</v>
      </c>
      <c r="AS27" s="91">
        <v>1.5</v>
      </c>
      <c r="AU27" s="109">
        <f>SUMIFS(CALCS!$J$10:$J$14,CALCS!$H$10:$H$14,$AB27)/$Z27</f>
        <v>10.859724367834785</v>
      </c>
      <c r="AX27" s="3" t="s">
        <v>221</v>
      </c>
      <c r="AY27" t="s">
        <v>152</v>
      </c>
      <c r="AZ27" s="92">
        <v>0.99999999999999967</v>
      </c>
      <c r="BA27" s="92">
        <v>1.3173431734317338</v>
      </c>
      <c r="BB27" s="92">
        <v>0</v>
      </c>
      <c r="BC27" s="92">
        <v>0.99999999999999967</v>
      </c>
      <c r="BD27" s="92">
        <v>1.959286592865928</v>
      </c>
      <c r="BE27" s="92">
        <v>0.97964329643296399</v>
      </c>
      <c r="BF27" s="92">
        <v>0.99999999999999967</v>
      </c>
      <c r="BG27" s="92">
        <v>1.959286592865928</v>
      </c>
      <c r="BH27" s="92">
        <v>1.959286592865928</v>
      </c>
      <c r="BI27" s="92">
        <v>0.99999999999999967</v>
      </c>
      <c r="BJ27" s="92">
        <v>1.959286592865928</v>
      </c>
      <c r="BK27" s="92">
        <v>1.959286592865928</v>
      </c>
      <c r="BL27" s="92">
        <v>0.99999999999999967</v>
      </c>
      <c r="BM27" s="92">
        <v>1.959286592865928</v>
      </c>
      <c r="BN27" s="92">
        <v>1.959286592865928</v>
      </c>
      <c r="BO27" s="92">
        <v>0.99999999999999967</v>
      </c>
      <c r="BP27" s="92">
        <v>1.959286592865928</v>
      </c>
      <c r="BQ27" s="92">
        <v>1.959286592865928</v>
      </c>
      <c r="BR27" s="92">
        <v>0.99999999999999967</v>
      </c>
      <c r="BS27" s="92">
        <v>1.959286592865928</v>
      </c>
      <c r="BT27" s="92">
        <v>1.959286592865928</v>
      </c>
      <c r="BU27" s="92">
        <v>0.99999999999999967</v>
      </c>
      <c r="BV27" s="92">
        <v>1.959286592865928</v>
      </c>
      <c r="BW27" s="92">
        <v>1.959286592865928</v>
      </c>
      <c r="BX27" s="92">
        <v>0.99999999999999967</v>
      </c>
      <c r="BY27" s="92">
        <v>1.959286592865928</v>
      </c>
      <c r="BZ27" s="92">
        <v>1.959286592865928</v>
      </c>
      <c r="CA27" s="92">
        <v>0.99999999999999967</v>
      </c>
      <c r="CB27" s="92">
        <v>1.959286592865928</v>
      </c>
      <c r="CC27" s="92">
        <v>1.959286592865928</v>
      </c>
      <c r="CD27" s="92">
        <v>0.99999999999999967</v>
      </c>
      <c r="CE27" s="92">
        <v>1.959286592865928</v>
      </c>
      <c r="CF27" s="92">
        <v>1.959286592865928</v>
      </c>
      <c r="CG27" s="92">
        <v>0.99999999999999967</v>
      </c>
      <c r="CH27" s="92">
        <v>1.959286592865928</v>
      </c>
      <c r="CI27" s="92">
        <v>1.959286592865928</v>
      </c>
      <c r="CJ27" s="92">
        <v>0.99999999999999967</v>
      </c>
      <c r="CK27" s="92">
        <v>1.959286592865928</v>
      </c>
      <c r="CL27" s="92">
        <v>1.959286592865928</v>
      </c>
      <c r="CM27" s="92">
        <v>0.99999999999999967</v>
      </c>
      <c r="CN27" s="92">
        <v>1.959286592865928</v>
      </c>
      <c r="CO27" s="92">
        <v>1.959286592865928</v>
      </c>
      <c r="CP27" s="92">
        <v>0.99999999999999967</v>
      </c>
      <c r="CQ27" s="92">
        <v>1.959286592865928</v>
      </c>
      <c r="CR27" s="92">
        <v>1.959286592865928</v>
      </c>
    </row>
    <row r="28" spans="1:96" x14ac:dyDescent="0.3">
      <c r="A28" s="3" t="str">
        <f>INDEX(Mapping!$Y:$Y,MATCH($C28,Mapping!$W:$W,0))</f>
        <v>Metro</v>
      </c>
      <c r="B28" s="3" t="str">
        <f>INDEX(Mapping!$V:$V,MATCH(C28,Mapping!$W:$W,0))</f>
        <v>NWV</v>
      </c>
      <c r="C28" t="s">
        <v>130</v>
      </c>
      <c r="D28">
        <v>2</v>
      </c>
      <c r="E28" s="20"/>
      <c r="F28" s="76">
        <v>1435.2782205945712</v>
      </c>
      <c r="G28" s="76">
        <v>1453.9025204653167</v>
      </c>
      <c r="H28" s="76">
        <v>1456.8341232227488</v>
      </c>
      <c r="I28" s="76">
        <v>1385.8578199052131</v>
      </c>
      <c r="J28" s="76">
        <v>1396.7772511848341</v>
      </c>
      <c r="K28" s="76">
        <v>1624.3199333300663</v>
      </c>
      <c r="L28" s="76">
        <v>1639.6957506491517</v>
      </c>
      <c r="M28" s="76">
        <v>1655.5328410698048</v>
      </c>
      <c r="N28" s="76">
        <v>1670.2728046683217</v>
      </c>
      <c r="O28" s="76">
        <v>1684.5585862443741</v>
      </c>
      <c r="P28" s="76">
        <v>1698.2285073690573</v>
      </c>
      <c r="Q28" s="76">
        <v>1712.4374679510624</v>
      </c>
      <c r="R28" s="76">
        <v>1726.3645300409012</v>
      </c>
      <c r="S28" s="76">
        <v>1740.6005592785793</v>
      </c>
      <c r="T28" s="76">
        <v>1755.3450839169193</v>
      </c>
      <c r="U28" s="76">
        <v>1770.4784457938665</v>
      </c>
      <c r="V28" s="76">
        <v>1785.7413203384749</v>
      </c>
      <c r="Y28" s="3">
        <v>10</v>
      </c>
      <c r="Z28" s="3">
        <v>20</v>
      </c>
      <c r="AA28" s="3" t="s">
        <v>100</v>
      </c>
      <c r="AB28" s="3" t="s">
        <v>89</v>
      </c>
      <c r="AC28" s="18">
        <f t="shared" si="3"/>
        <v>44</v>
      </c>
      <c r="AE28" s="91">
        <v>10.859724367834783</v>
      </c>
      <c r="AF28" s="91">
        <v>1.5</v>
      </c>
      <c r="AG28" s="91">
        <v>1.5</v>
      </c>
      <c r="AH28" s="91">
        <v>1.5</v>
      </c>
      <c r="AI28" s="91">
        <v>1.5</v>
      </c>
      <c r="AJ28" s="91">
        <v>1.5</v>
      </c>
      <c r="AK28" s="91">
        <v>1.5</v>
      </c>
      <c r="AL28" s="91">
        <v>1.5</v>
      </c>
      <c r="AM28" s="91">
        <v>1.5</v>
      </c>
      <c r="AN28" s="91">
        <v>1.5</v>
      </c>
      <c r="AO28" s="91">
        <v>1.5</v>
      </c>
      <c r="AP28" s="91">
        <v>1.5</v>
      </c>
      <c r="AQ28" s="91">
        <v>1.5</v>
      </c>
      <c r="AR28" s="91">
        <v>1.5</v>
      </c>
      <c r="AS28" s="91">
        <v>1.5</v>
      </c>
      <c r="AU28" s="109">
        <f>SUMIFS(CALCS!$J$10:$J$14,CALCS!$H$10:$H$14,$AB28)/$Z28</f>
        <v>10.859724367834785</v>
      </c>
      <c r="AX28" s="3" t="s">
        <v>221</v>
      </c>
      <c r="AY28" t="s">
        <v>153</v>
      </c>
      <c r="AZ28" s="92">
        <v>1</v>
      </c>
      <c r="BA28" s="92">
        <v>0.30331350892098558</v>
      </c>
      <c r="BB28" s="92">
        <v>0</v>
      </c>
      <c r="BC28" s="92">
        <v>1</v>
      </c>
      <c r="BD28" s="92">
        <v>0.451118663268196</v>
      </c>
      <c r="BE28" s="92">
        <v>0.225559331634098</v>
      </c>
      <c r="BF28" s="92">
        <v>1</v>
      </c>
      <c r="BG28" s="92">
        <v>0.451118663268196</v>
      </c>
      <c r="BH28" s="92">
        <v>0.451118663268196</v>
      </c>
      <c r="BI28" s="92">
        <v>1</v>
      </c>
      <c r="BJ28" s="92">
        <v>0.451118663268196</v>
      </c>
      <c r="BK28" s="92">
        <v>0.451118663268196</v>
      </c>
      <c r="BL28" s="92">
        <v>1</v>
      </c>
      <c r="BM28" s="92">
        <v>0.451118663268196</v>
      </c>
      <c r="BN28" s="92">
        <v>0.451118663268196</v>
      </c>
      <c r="BO28" s="92">
        <v>1</v>
      </c>
      <c r="BP28" s="92">
        <v>0.451118663268196</v>
      </c>
      <c r="BQ28" s="92">
        <v>0.451118663268196</v>
      </c>
      <c r="BR28" s="92">
        <v>1</v>
      </c>
      <c r="BS28" s="92">
        <v>0.451118663268196</v>
      </c>
      <c r="BT28" s="92">
        <v>0.451118663268196</v>
      </c>
      <c r="BU28" s="92">
        <v>1</v>
      </c>
      <c r="BV28" s="92">
        <v>0.451118663268196</v>
      </c>
      <c r="BW28" s="92">
        <v>0.451118663268196</v>
      </c>
      <c r="BX28" s="92">
        <v>1</v>
      </c>
      <c r="BY28" s="92">
        <v>0.451118663268196</v>
      </c>
      <c r="BZ28" s="92">
        <v>0.451118663268196</v>
      </c>
      <c r="CA28" s="92">
        <v>1</v>
      </c>
      <c r="CB28" s="92">
        <v>0.451118663268196</v>
      </c>
      <c r="CC28" s="92">
        <v>0.451118663268196</v>
      </c>
      <c r="CD28" s="92">
        <v>1</v>
      </c>
      <c r="CE28" s="92">
        <v>0.451118663268196</v>
      </c>
      <c r="CF28" s="92">
        <v>0.451118663268196</v>
      </c>
      <c r="CG28" s="92">
        <v>1</v>
      </c>
      <c r="CH28" s="92">
        <v>0.451118663268196</v>
      </c>
      <c r="CI28" s="92">
        <v>0.451118663268196</v>
      </c>
      <c r="CJ28" s="92">
        <v>1</v>
      </c>
      <c r="CK28" s="92">
        <v>0.451118663268196</v>
      </c>
      <c r="CL28" s="92">
        <v>0.451118663268196</v>
      </c>
      <c r="CM28" s="92">
        <v>1</v>
      </c>
      <c r="CN28" s="92">
        <v>0.451118663268196</v>
      </c>
      <c r="CO28" s="92">
        <v>0.451118663268196</v>
      </c>
      <c r="CP28" s="92">
        <v>1</v>
      </c>
      <c r="CQ28" s="92">
        <v>0.451118663268196</v>
      </c>
      <c r="CR28" s="92">
        <v>0.451118663268196</v>
      </c>
    </row>
    <row r="29" spans="1:96" x14ac:dyDescent="0.3">
      <c r="A29" s="3" t="str">
        <f>INDEX(Mapping!$Y:$Y,MATCH($C29,Mapping!$W:$W,0))</f>
        <v>Metro</v>
      </c>
      <c r="B29" s="3" t="str">
        <f>INDEX(Mapping!$V:$V,MATCH(C29,Mapping!$W:$W,0))</f>
        <v>NWV</v>
      </c>
      <c r="C29" t="s">
        <v>130</v>
      </c>
      <c r="D29">
        <v>3</v>
      </c>
      <c r="E29" s="20"/>
      <c r="F29" s="76">
        <v>1409.2800517018527</v>
      </c>
      <c r="G29" s="76">
        <v>1427.5669969840585</v>
      </c>
      <c r="H29" s="76">
        <v>1430.4454976303318</v>
      </c>
      <c r="I29" s="76">
        <v>1456.8341232227488</v>
      </c>
      <c r="J29" s="76">
        <v>1385.8578199052131</v>
      </c>
      <c r="K29" s="76">
        <v>1396.7772511848341</v>
      </c>
      <c r="L29" s="76">
        <v>1624.3199333300663</v>
      </c>
      <c r="M29" s="76">
        <v>1639.6957506491517</v>
      </c>
      <c r="N29" s="76">
        <v>1655.5328410698048</v>
      </c>
      <c r="O29" s="76">
        <v>1670.2728046683217</v>
      </c>
      <c r="P29" s="76">
        <v>1684.5585862443741</v>
      </c>
      <c r="Q29" s="76">
        <v>1698.2285073690573</v>
      </c>
      <c r="R29" s="76">
        <v>1712.4374679510624</v>
      </c>
      <c r="S29" s="76">
        <v>1726.3645300409012</v>
      </c>
      <c r="T29" s="76">
        <v>1740.6005592785793</v>
      </c>
      <c r="U29" s="76">
        <v>1755.3450839169193</v>
      </c>
      <c r="V29" s="76">
        <v>1770.4784457938665</v>
      </c>
      <c r="Y29" s="3">
        <v>10</v>
      </c>
      <c r="Z29" s="3">
        <v>6</v>
      </c>
      <c r="AA29" s="3" t="s">
        <v>100</v>
      </c>
      <c r="AB29" s="3" t="s">
        <v>90</v>
      </c>
      <c r="AC29" s="18">
        <f t="shared" si="3"/>
        <v>45</v>
      </c>
      <c r="AE29" s="91">
        <v>23.328296790163609</v>
      </c>
      <c r="AF29" s="91">
        <v>1.5</v>
      </c>
      <c r="AG29" s="91">
        <v>1.5</v>
      </c>
      <c r="AH29" s="91">
        <v>1.5</v>
      </c>
      <c r="AI29" s="91">
        <v>1.5</v>
      </c>
      <c r="AJ29" s="91">
        <v>1.5</v>
      </c>
      <c r="AK29" s="91">
        <v>1.5</v>
      </c>
      <c r="AL29" s="91">
        <v>1.5</v>
      </c>
      <c r="AM29" s="91">
        <v>1.5</v>
      </c>
      <c r="AN29" s="91">
        <v>1.5</v>
      </c>
      <c r="AO29" s="91">
        <v>1.5</v>
      </c>
      <c r="AP29" s="91">
        <v>1.5</v>
      </c>
      <c r="AQ29" s="91">
        <v>1.5</v>
      </c>
      <c r="AR29" s="91">
        <v>1.5</v>
      </c>
      <c r="AS29" s="91">
        <v>1.5</v>
      </c>
      <c r="AU29" s="109">
        <f>SUMIFS(CALCS!$J$10:$J$14,CALCS!$H$10:$H$14,$AB29)/$Z29</f>
        <v>23.328296790163609</v>
      </c>
      <c r="AX29" s="3" t="s">
        <v>221</v>
      </c>
      <c r="AY29" t="s">
        <v>135</v>
      </c>
      <c r="AZ29" s="92">
        <v>1</v>
      </c>
      <c r="BA29" s="92">
        <v>5.7580645161290311</v>
      </c>
      <c r="BB29" s="92">
        <v>0</v>
      </c>
      <c r="BC29" s="92">
        <v>1</v>
      </c>
      <c r="BD29" s="92">
        <v>8.5639784946236546</v>
      </c>
      <c r="BE29" s="92">
        <v>4.2819892473118273</v>
      </c>
      <c r="BF29" s="92">
        <v>1</v>
      </c>
      <c r="BG29" s="92">
        <v>8.5639784946236546</v>
      </c>
      <c r="BH29" s="92">
        <v>8.5639784946236546</v>
      </c>
      <c r="BI29" s="92">
        <v>1</v>
      </c>
      <c r="BJ29" s="92">
        <v>8.5639784946236546</v>
      </c>
      <c r="BK29" s="92">
        <v>8.5639784946236546</v>
      </c>
      <c r="BL29" s="92">
        <v>1</v>
      </c>
      <c r="BM29" s="92">
        <v>8.5639784946236546</v>
      </c>
      <c r="BN29" s="92">
        <v>8.5639784946236546</v>
      </c>
      <c r="BO29" s="92">
        <v>1</v>
      </c>
      <c r="BP29" s="92">
        <v>8.5639784946236546</v>
      </c>
      <c r="BQ29" s="92">
        <v>8.5639784946236546</v>
      </c>
      <c r="BR29" s="92">
        <v>1</v>
      </c>
      <c r="BS29" s="92">
        <v>8.5639784946236546</v>
      </c>
      <c r="BT29" s="92">
        <v>8.5639784946236546</v>
      </c>
      <c r="BU29" s="92">
        <v>1</v>
      </c>
      <c r="BV29" s="92">
        <v>8.5639784946236546</v>
      </c>
      <c r="BW29" s="92">
        <v>8.5639784946236546</v>
      </c>
      <c r="BX29" s="92">
        <v>1</v>
      </c>
      <c r="BY29" s="92">
        <v>8.5639784946236546</v>
      </c>
      <c r="BZ29" s="92">
        <v>8.5639784946236546</v>
      </c>
      <c r="CA29" s="92">
        <v>1</v>
      </c>
      <c r="CB29" s="92">
        <v>8.5639784946236546</v>
      </c>
      <c r="CC29" s="92">
        <v>8.5639784946236546</v>
      </c>
      <c r="CD29" s="92">
        <v>1</v>
      </c>
      <c r="CE29" s="92">
        <v>8.5639784946236546</v>
      </c>
      <c r="CF29" s="92">
        <v>8.5639784946236546</v>
      </c>
      <c r="CG29" s="92">
        <v>1</v>
      </c>
      <c r="CH29" s="92">
        <v>8.5639784946236546</v>
      </c>
      <c r="CI29" s="92">
        <v>8.5639784946236546</v>
      </c>
      <c r="CJ29" s="92">
        <v>1</v>
      </c>
      <c r="CK29" s="92">
        <v>8.5639784946236546</v>
      </c>
      <c r="CL29" s="92">
        <v>8.5639784946236546</v>
      </c>
      <c r="CM29" s="92">
        <v>1</v>
      </c>
      <c r="CN29" s="92">
        <v>8.5639784946236546</v>
      </c>
      <c r="CO29" s="92">
        <v>8.5639784946236546</v>
      </c>
      <c r="CP29" s="92">
        <v>1</v>
      </c>
      <c r="CQ29" s="92">
        <v>8.5639784946236546</v>
      </c>
      <c r="CR29" s="92">
        <v>8.5639784946236546</v>
      </c>
    </row>
    <row r="30" spans="1:96" x14ac:dyDescent="0.3">
      <c r="A30" s="3" t="str">
        <f>INDEX(Mapping!$Y:$Y,MATCH($C30,Mapping!$W:$W,0))</f>
        <v>Metro</v>
      </c>
      <c r="B30" s="3" t="str">
        <f>INDEX(Mapping!$V:$V,MATCH(C30,Mapping!$W:$W,0))</f>
        <v>NWV</v>
      </c>
      <c r="C30" t="s">
        <v>130</v>
      </c>
      <c r="D30">
        <v>4</v>
      </c>
      <c r="E30" s="20"/>
      <c r="F30" s="76">
        <v>1360.8696682464454</v>
      </c>
      <c r="G30" s="76">
        <v>1378.5284360189573</v>
      </c>
      <c r="H30" s="76">
        <v>1381.3080568720379</v>
      </c>
      <c r="I30" s="76">
        <v>1430.4454976303318</v>
      </c>
      <c r="J30" s="76">
        <v>1456.8341232227488</v>
      </c>
      <c r="K30" s="76">
        <v>1385.8578199052131</v>
      </c>
      <c r="L30" s="76">
        <v>1396.7772511848341</v>
      </c>
      <c r="M30" s="76">
        <v>1624.3199333300663</v>
      </c>
      <c r="N30" s="76">
        <v>1639.6957506491517</v>
      </c>
      <c r="O30" s="76">
        <v>1655.5328410698048</v>
      </c>
      <c r="P30" s="76">
        <v>1670.2728046683217</v>
      </c>
      <c r="Q30" s="76">
        <v>1684.5585862443741</v>
      </c>
      <c r="R30" s="76">
        <v>1698.2285073690573</v>
      </c>
      <c r="S30" s="76">
        <v>1712.4374679510624</v>
      </c>
      <c r="T30" s="76">
        <v>1726.3645300409012</v>
      </c>
      <c r="U30" s="76">
        <v>1740.6005592785793</v>
      </c>
      <c r="V30" s="76">
        <v>1755.3450839169193</v>
      </c>
      <c r="Y30" s="3">
        <v>10</v>
      </c>
      <c r="Z30" s="3">
        <v>6</v>
      </c>
      <c r="AA30" s="3" t="s">
        <v>100</v>
      </c>
      <c r="AB30" s="3" t="s">
        <v>90</v>
      </c>
      <c r="AC30" s="18">
        <f t="shared" si="3"/>
        <v>46</v>
      </c>
      <c r="AE30" s="91">
        <v>23.328296790163609</v>
      </c>
      <c r="AF30" s="91">
        <v>1.5</v>
      </c>
      <c r="AG30" s="91">
        <v>1.5</v>
      </c>
      <c r="AH30" s="91">
        <v>1.5</v>
      </c>
      <c r="AI30" s="91">
        <v>1.5</v>
      </c>
      <c r="AJ30" s="91">
        <v>1.5</v>
      </c>
      <c r="AK30" s="91">
        <v>1.5</v>
      </c>
      <c r="AL30" s="91">
        <v>1.5</v>
      </c>
      <c r="AM30" s="91">
        <v>1.5</v>
      </c>
      <c r="AN30" s="91">
        <v>1.5</v>
      </c>
      <c r="AO30" s="91">
        <v>1.5</v>
      </c>
      <c r="AP30" s="91">
        <v>1.5</v>
      </c>
      <c r="AQ30" s="91">
        <v>1.5</v>
      </c>
      <c r="AR30" s="91">
        <v>1.5</v>
      </c>
      <c r="AS30" s="91">
        <v>1.5</v>
      </c>
      <c r="AU30" s="109">
        <f>SUMIFS(CALCS!$J$10:$J$14,CALCS!$H$10:$H$14,$AB30)/$Z30</f>
        <v>23.328296790163609</v>
      </c>
      <c r="AX30" s="3" t="s">
        <v>221</v>
      </c>
      <c r="AY30" t="s">
        <v>154</v>
      </c>
      <c r="AZ30" s="92">
        <v>1</v>
      </c>
      <c r="BA30" s="92">
        <v>0.34849668098399056</v>
      </c>
      <c r="BB30" s="92">
        <v>0</v>
      </c>
      <c r="BC30" s="92">
        <v>1</v>
      </c>
      <c r="BD30" s="92">
        <v>0.51831966679682406</v>
      </c>
      <c r="BE30" s="92">
        <v>0.25915983339841203</v>
      </c>
      <c r="BF30" s="92">
        <v>1</v>
      </c>
      <c r="BG30" s="92">
        <v>0.51831966679682406</v>
      </c>
      <c r="BH30" s="92">
        <v>0.51831966679682406</v>
      </c>
      <c r="BI30" s="92">
        <v>1</v>
      </c>
      <c r="BJ30" s="92">
        <v>0.51831966679682406</v>
      </c>
      <c r="BK30" s="92">
        <v>0.51831966679682406</v>
      </c>
      <c r="BL30" s="92">
        <v>1</v>
      </c>
      <c r="BM30" s="92">
        <v>0.51831966679682406</v>
      </c>
      <c r="BN30" s="92">
        <v>0.51831966679682406</v>
      </c>
      <c r="BO30" s="92">
        <v>1</v>
      </c>
      <c r="BP30" s="92">
        <v>0.51831966679682406</v>
      </c>
      <c r="BQ30" s="92">
        <v>0.51831966679682406</v>
      </c>
      <c r="BR30" s="92">
        <v>1</v>
      </c>
      <c r="BS30" s="92">
        <v>0.51831966679682406</v>
      </c>
      <c r="BT30" s="92">
        <v>0.51831966679682406</v>
      </c>
      <c r="BU30" s="92">
        <v>1</v>
      </c>
      <c r="BV30" s="92">
        <v>0.51831966679682406</v>
      </c>
      <c r="BW30" s="92">
        <v>0.51831966679682406</v>
      </c>
      <c r="BX30" s="92">
        <v>1</v>
      </c>
      <c r="BY30" s="92">
        <v>0.51831966679682406</v>
      </c>
      <c r="BZ30" s="92">
        <v>0.51831966679682406</v>
      </c>
      <c r="CA30" s="92">
        <v>1</v>
      </c>
      <c r="CB30" s="92">
        <v>0.51831966679682406</v>
      </c>
      <c r="CC30" s="92">
        <v>0.51831966679682406</v>
      </c>
      <c r="CD30" s="92">
        <v>1</v>
      </c>
      <c r="CE30" s="92">
        <v>0.51831966679682406</v>
      </c>
      <c r="CF30" s="92">
        <v>0.51831966679682406</v>
      </c>
      <c r="CG30" s="92">
        <v>1</v>
      </c>
      <c r="CH30" s="92">
        <v>0.51831966679682406</v>
      </c>
      <c r="CI30" s="92">
        <v>0.51831966679682406</v>
      </c>
      <c r="CJ30" s="92">
        <v>1</v>
      </c>
      <c r="CK30" s="92">
        <v>0.51831966679682406</v>
      </c>
      <c r="CL30" s="92">
        <v>0.51831966679682406</v>
      </c>
      <c r="CM30" s="92">
        <v>1</v>
      </c>
      <c r="CN30" s="92">
        <v>0.51831966679682406</v>
      </c>
      <c r="CO30" s="92">
        <v>0.51831966679682406</v>
      </c>
      <c r="CP30" s="92">
        <v>1</v>
      </c>
      <c r="CQ30" s="92">
        <v>0.51831966679682406</v>
      </c>
      <c r="CR30" s="92">
        <v>0.51831966679682406</v>
      </c>
    </row>
    <row r="31" spans="1:96" x14ac:dyDescent="0.3">
      <c r="A31" s="3" t="str">
        <f>INDEX(Mapping!$Y:$Y,MATCH($C31,Mapping!$W:$W,0))</f>
        <v>Metro</v>
      </c>
      <c r="B31" s="3" t="str">
        <f>INDEX(Mapping!$V:$V,MATCH(C31,Mapping!$W:$W,0))</f>
        <v>NWV</v>
      </c>
      <c r="C31" t="s">
        <v>130</v>
      </c>
      <c r="D31">
        <v>5</v>
      </c>
      <c r="E31" s="20"/>
      <c r="F31" s="76">
        <v>1288.3153813011634</v>
      </c>
      <c r="G31" s="76">
        <v>1325.3511417492459</v>
      </c>
      <c r="H31" s="76">
        <v>1345.5224041361482</v>
      </c>
      <c r="I31" s="76">
        <v>1381.3080568720379</v>
      </c>
      <c r="J31" s="76">
        <v>1430.4454976303318</v>
      </c>
      <c r="K31" s="76">
        <v>1456.8341232227488</v>
      </c>
      <c r="L31" s="76">
        <v>1385.8578199052131</v>
      </c>
      <c r="M31" s="76">
        <v>1396.7772511848341</v>
      </c>
      <c r="N31" s="76">
        <v>1624.3199333300663</v>
      </c>
      <c r="O31" s="76">
        <v>1639.6957506491517</v>
      </c>
      <c r="P31" s="76">
        <v>1655.5328410698048</v>
      </c>
      <c r="Q31" s="76">
        <v>1670.2728046683217</v>
      </c>
      <c r="R31" s="76">
        <v>1684.5585862443741</v>
      </c>
      <c r="S31" s="76">
        <v>1698.2285073690573</v>
      </c>
      <c r="T31" s="76">
        <v>1712.4374679510624</v>
      </c>
      <c r="U31" s="76">
        <v>1726.3645300409012</v>
      </c>
      <c r="V31" s="76">
        <v>1740.6005592785793</v>
      </c>
      <c r="Y31" s="3">
        <v>10</v>
      </c>
      <c r="Z31" s="3">
        <v>6</v>
      </c>
      <c r="AA31" s="3" t="s">
        <v>100</v>
      </c>
      <c r="AB31" s="3" t="s">
        <v>90</v>
      </c>
      <c r="AC31" s="18">
        <f t="shared" si="3"/>
        <v>47</v>
      </c>
      <c r="AE31" s="91">
        <v>23.328296790163609</v>
      </c>
      <c r="AF31" s="91">
        <v>1.5</v>
      </c>
      <c r="AG31" s="91">
        <v>1.5</v>
      </c>
      <c r="AH31" s="91">
        <v>1.5</v>
      </c>
      <c r="AI31" s="91">
        <v>1.5</v>
      </c>
      <c r="AJ31" s="91">
        <v>1.5</v>
      </c>
      <c r="AK31" s="91">
        <v>1.5</v>
      </c>
      <c r="AL31" s="91">
        <v>1.5</v>
      </c>
      <c r="AM31" s="91">
        <v>1.5</v>
      </c>
      <c r="AN31" s="91">
        <v>1.5</v>
      </c>
      <c r="AO31" s="91">
        <v>1.5</v>
      </c>
      <c r="AP31" s="91">
        <v>1.5</v>
      </c>
      <c r="AQ31" s="91">
        <v>1.5</v>
      </c>
      <c r="AR31" s="91">
        <v>1.5</v>
      </c>
      <c r="AS31" s="91">
        <v>1.5</v>
      </c>
      <c r="AU31" s="109">
        <f>SUMIFS(CALCS!$J$10:$J$14,CALCS!$H$10:$H$14,$AB31)/$Z31</f>
        <v>23.328296790163609</v>
      </c>
      <c r="AX31" s="3" t="s">
        <v>221</v>
      </c>
      <c r="AY31" t="s">
        <v>168</v>
      </c>
      <c r="AZ31" s="92">
        <v>1</v>
      </c>
      <c r="BA31" s="92">
        <v>3.3679245283018862</v>
      </c>
      <c r="BB31" s="92">
        <v>0</v>
      </c>
      <c r="BC31" s="92">
        <v>1</v>
      </c>
      <c r="BD31" s="92">
        <v>5.0091194968553454</v>
      </c>
      <c r="BE31" s="92">
        <v>2.5045597484276727</v>
      </c>
      <c r="BF31" s="92">
        <v>1</v>
      </c>
      <c r="BG31" s="92">
        <v>5.0091194968553454</v>
      </c>
      <c r="BH31" s="92">
        <v>5.0091194968553454</v>
      </c>
      <c r="BI31" s="92">
        <v>1</v>
      </c>
      <c r="BJ31" s="92">
        <v>5.0091194968553454</v>
      </c>
      <c r="BK31" s="92">
        <v>5.0091194968553454</v>
      </c>
      <c r="BL31" s="92">
        <v>1</v>
      </c>
      <c r="BM31" s="92">
        <v>5.0091194968553454</v>
      </c>
      <c r="BN31" s="92">
        <v>5.0091194968553454</v>
      </c>
      <c r="BO31" s="92">
        <v>1</v>
      </c>
      <c r="BP31" s="92">
        <v>5.0091194968553454</v>
      </c>
      <c r="BQ31" s="92">
        <v>5.0091194968553454</v>
      </c>
      <c r="BR31" s="92">
        <v>1</v>
      </c>
      <c r="BS31" s="92">
        <v>5.0091194968553454</v>
      </c>
      <c r="BT31" s="92">
        <v>5.0091194968553454</v>
      </c>
      <c r="BU31" s="92">
        <v>1</v>
      </c>
      <c r="BV31" s="92">
        <v>5.0091194968553454</v>
      </c>
      <c r="BW31" s="92">
        <v>5.0091194968553454</v>
      </c>
      <c r="BX31" s="92">
        <v>1</v>
      </c>
      <c r="BY31" s="92">
        <v>5.0091194968553454</v>
      </c>
      <c r="BZ31" s="92">
        <v>5.0091194968553454</v>
      </c>
      <c r="CA31" s="92">
        <v>1</v>
      </c>
      <c r="CB31" s="92">
        <v>5.0091194968553454</v>
      </c>
      <c r="CC31" s="92">
        <v>5.0091194968553454</v>
      </c>
      <c r="CD31" s="92">
        <v>1</v>
      </c>
      <c r="CE31" s="92">
        <v>5.0091194968553454</v>
      </c>
      <c r="CF31" s="92">
        <v>5.0091194968553454</v>
      </c>
      <c r="CG31" s="92">
        <v>1</v>
      </c>
      <c r="CH31" s="92">
        <v>5.0091194968553454</v>
      </c>
      <c r="CI31" s="92">
        <v>5.0091194968553454</v>
      </c>
      <c r="CJ31" s="92">
        <v>1</v>
      </c>
      <c r="CK31" s="92">
        <v>5.0091194968553454</v>
      </c>
      <c r="CL31" s="92">
        <v>5.0091194968553454</v>
      </c>
      <c r="CM31" s="92">
        <v>1</v>
      </c>
      <c r="CN31" s="92">
        <v>5.0091194968553454</v>
      </c>
      <c r="CO31" s="92">
        <v>5.0091194968553454</v>
      </c>
      <c r="CP31" s="92">
        <v>1</v>
      </c>
      <c r="CQ31" s="92">
        <v>5.0091194968553454</v>
      </c>
      <c r="CR31" s="92">
        <v>5.0091194968553454</v>
      </c>
    </row>
    <row r="32" spans="1:96" x14ac:dyDescent="0.3">
      <c r="A32" s="3" t="str">
        <f>INDEX(Mapping!$Y:$Y,MATCH($C32,Mapping!$W:$W,0))</f>
        <v>Rural</v>
      </c>
      <c r="B32" s="3" t="str">
        <f>INDEX(Mapping!$V:$V,MATCH(C32,Mapping!$W:$W,0))</f>
        <v>SEV</v>
      </c>
      <c r="C32" t="s">
        <v>147</v>
      </c>
      <c r="D32">
        <v>0</v>
      </c>
      <c r="E32" s="20"/>
      <c r="F32" s="76">
        <v>268.78564593301434</v>
      </c>
      <c r="G32" s="76">
        <v>260.37703349282299</v>
      </c>
      <c r="H32" s="76">
        <v>272.41004784688994</v>
      </c>
      <c r="I32" s="76">
        <v>311.73974782566955</v>
      </c>
      <c r="J32" s="76">
        <v>319.43351734899403</v>
      </c>
      <c r="K32" s="76">
        <v>326.94170658999428</v>
      </c>
      <c r="L32" s="76">
        <v>334.2755048296147</v>
      </c>
      <c r="M32" s="76">
        <v>341.52811441013017</v>
      </c>
      <c r="N32" s="76">
        <v>348.71457308788439</v>
      </c>
      <c r="O32" s="76">
        <v>355.90610384265034</v>
      </c>
      <c r="P32" s="76">
        <v>363.01096688450917</v>
      </c>
      <c r="Q32" s="76">
        <v>370.08022683426339</v>
      </c>
      <c r="R32" s="76">
        <v>377.097743901385</v>
      </c>
      <c r="S32" s="76">
        <v>384.08558617388667</v>
      </c>
      <c r="T32" s="76">
        <v>391.02609792819726</v>
      </c>
      <c r="U32" s="76">
        <v>397.9568147056878</v>
      </c>
      <c r="V32" s="76">
        <v>404.8345344963634</v>
      </c>
      <c r="Y32" s="3">
        <v>10</v>
      </c>
      <c r="Z32" s="3">
        <v>6</v>
      </c>
      <c r="AA32" s="3" t="s">
        <v>100</v>
      </c>
      <c r="AB32" s="3" t="s">
        <v>90</v>
      </c>
      <c r="AC32" s="18">
        <f t="shared" si="3"/>
        <v>48</v>
      </c>
      <c r="AE32" s="91">
        <v>23.328296790163609</v>
      </c>
      <c r="AF32" s="91">
        <v>1.5</v>
      </c>
      <c r="AG32" s="91">
        <v>1.5</v>
      </c>
      <c r="AH32" s="91">
        <v>1.5</v>
      </c>
      <c r="AI32" s="91">
        <v>1.5</v>
      </c>
      <c r="AJ32" s="91">
        <v>1.5</v>
      </c>
      <c r="AK32" s="91">
        <v>1.5</v>
      </c>
      <c r="AL32" s="91">
        <v>1.5</v>
      </c>
      <c r="AM32" s="91">
        <v>1.5</v>
      </c>
      <c r="AN32" s="91">
        <v>1.5</v>
      </c>
      <c r="AO32" s="91">
        <v>1.5</v>
      </c>
      <c r="AP32" s="91">
        <v>1.5</v>
      </c>
      <c r="AQ32" s="91">
        <v>1.5</v>
      </c>
      <c r="AR32" s="91">
        <v>1.5</v>
      </c>
      <c r="AS32" s="91">
        <v>1.5</v>
      </c>
      <c r="AU32" s="109">
        <f>SUMIFS(CALCS!$J$10:$J$14,CALCS!$H$10:$H$14,$AB32)/$Z32</f>
        <v>23.328296790163609</v>
      </c>
      <c r="AX32" s="3" t="s">
        <v>221</v>
      </c>
      <c r="AY32" t="s">
        <v>169</v>
      </c>
      <c r="AZ32" s="92">
        <v>1</v>
      </c>
      <c r="BA32" s="92">
        <v>2.3895582329317264</v>
      </c>
      <c r="BB32" s="92">
        <v>0</v>
      </c>
      <c r="BC32" s="92">
        <v>1</v>
      </c>
      <c r="BD32" s="92">
        <v>3.5539937527889327</v>
      </c>
      <c r="BE32" s="92">
        <v>1.7769968763944664</v>
      </c>
      <c r="BF32" s="92">
        <v>1</v>
      </c>
      <c r="BG32" s="92">
        <v>3.5539937527889327</v>
      </c>
      <c r="BH32" s="92">
        <v>3.5539937527889327</v>
      </c>
      <c r="BI32" s="92">
        <v>1</v>
      </c>
      <c r="BJ32" s="92">
        <v>3.5539937527889327</v>
      </c>
      <c r="BK32" s="92">
        <v>3.5539937527889327</v>
      </c>
      <c r="BL32" s="92">
        <v>1</v>
      </c>
      <c r="BM32" s="92">
        <v>3.5539937527889327</v>
      </c>
      <c r="BN32" s="92">
        <v>3.5539937527889327</v>
      </c>
      <c r="BO32" s="92">
        <v>1</v>
      </c>
      <c r="BP32" s="92">
        <v>3.5539937527889327</v>
      </c>
      <c r="BQ32" s="92">
        <v>3.5539937527889327</v>
      </c>
      <c r="BR32" s="92">
        <v>1</v>
      </c>
      <c r="BS32" s="92">
        <v>3.5539937527889327</v>
      </c>
      <c r="BT32" s="92">
        <v>3.5539937527889327</v>
      </c>
      <c r="BU32" s="92">
        <v>1</v>
      </c>
      <c r="BV32" s="92">
        <v>3.5539937527889327</v>
      </c>
      <c r="BW32" s="92">
        <v>3.5539937527889327</v>
      </c>
      <c r="BX32" s="92">
        <v>1</v>
      </c>
      <c r="BY32" s="92">
        <v>3.5539937527889327</v>
      </c>
      <c r="BZ32" s="92">
        <v>3.5539937527889327</v>
      </c>
      <c r="CA32" s="92">
        <v>1</v>
      </c>
      <c r="CB32" s="92">
        <v>3.5539937527889327</v>
      </c>
      <c r="CC32" s="92">
        <v>3.5539937527889327</v>
      </c>
      <c r="CD32" s="92">
        <v>1</v>
      </c>
      <c r="CE32" s="92">
        <v>3.5539937527889327</v>
      </c>
      <c r="CF32" s="92">
        <v>3.5539937527889327</v>
      </c>
      <c r="CG32" s="92">
        <v>1</v>
      </c>
      <c r="CH32" s="92">
        <v>3.5539937527889327</v>
      </c>
      <c r="CI32" s="92">
        <v>3.5539937527889327</v>
      </c>
      <c r="CJ32" s="92">
        <v>1</v>
      </c>
      <c r="CK32" s="92">
        <v>3.5539937527889327</v>
      </c>
      <c r="CL32" s="92">
        <v>3.5539937527889327</v>
      </c>
      <c r="CM32" s="92">
        <v>1</v>
      </c>
      <c r="CN32" s="92">
        <v>3.5539937527889327</v>
      </c>
      <c r="CO32" s="92">
        <v>3.5539937527889327</v>
      </c>
      <c r="CP32" s="92">
        <v>1</v>
      </c>
      <c r="CQ32" s="92">
        <v>3.5539937527889327</v>
      </c>
      <c r="CR32" s="92">
        <v>3.5539937527889327</v>
      </c>
    </row>
    <row r="33" spans="1:96" x14ac:dyDescent="0.3">
      <c r="A33" s="3" t="str">
        <f>INDEX(Mapping!$Y:$Y,MATCH($C33,Mapping!$W:$W,0))</f>
        <v>Rural</v>
      </c>
      <c r="B33" s="3" t="str">
        <f>INDEX(Mapping!$V:$V,MATCH(C33,Mapping!$W:$W,0))</f>
        <v>SEV</v>
      </c>
      <c r="C33" t="s">
        <v>147</v>
      </c>
      <c r="D33">
        <v>1</v>
      </c>
      <c r="E33" s="20"/>
      <c r="F33" s="76">
        <v>290.07559808612439</v>
      </c>
      <c r="G33" s="76">
        <v>281.000956937799</v>
      </c>
      <c r="H33" s="76">
        <v>293.98708133971292</v>
      </c>
      <c r="I33" s="76">
        <v>272.41004784688994</v>
      </c>
      <c r="J33" s="76">
        <v>311.73974782566955</v>
      </c>
      <c r="K33" s="76">
        <v>319.43351734899403</v>
      </c>
      <c r="L33" s="76">
        <v>326.94170658999428</v>
      </c>
      <c r="M33" s="76">
        <v>334.2755048296147</v>
      </c>
      <c r="N33" s="76">
        <v>341.52811441013017</v>
      </c>
      <c r="O33" s="76">
        <v>348.71457308788439</v>
      </c>
      <c r="P33" s="76">
        <v>355.90610384265034</v>
      </c>
      <c r="Q33" s="76">
        <v>363.01096688450917</v>
      </c>
      <c r="R33" s="76">
        <v>370.08022683426339</v>
      </c>
      <c r="S33" s="76">
        <v>377.097743901385</v>
      </c>
      <c r="T33" s="76">
        <v>384.08558617388667</v>
      </c>
      <c r="U33" s="76">
        <v>391.02609792819726</v>
      </c>
      <c r="V33" s="76">
        <v>397.9568147056878</v>
      </c>
      <c r="Y33" s="3">
        <v>10</v>
      </c>
      <c r="Z33" s="3">
        <v>6</v>
      </c>
      <c r="AA33" s="3" t="s">
        <v>100</v>
      </c>
      <c r="AB33" s="3" t="s">
        <v>90</v>
      </c>
      <c r="AC33" s="18">
        <f t="shared" si="3"/>
        <v>49</v>
      </c>
      <c r="AE33" s="91">
        <v>23.328296790163609</v>
      </c>
      <c r="AF33" s="91">
        <v>1.5</v>
      </c>
      <c r="AG33" s="91">
        <v>1.5</v>
      </c>
      <c r="AH33" s="91">
        <v>1.5</v>
      </c>
      <c r="AI33" s="91">
        <v>1.5</v>
      </c>
      <c r="AJ33" s="91">
        <v>1.5</v>
      </c>
      <c r="AK33" s="91">
        <v>1.5</v>
      </c>
      <c r="AL33" s="91">
        <v>1.5</v>
      </c>
      <c r="AM33" s="91">
        <v>1.5</v>
      </c>
      <c r="AN33" s="91">
        <v>1.5</v>
      </c>
      <c r="AO33" s="91">
        <v>1.5</v>
      </c>
      <c r="AP33" s="91">
        <v>1.5</v>
      </c>
      <c r="AQ33" s="91">
        <v>1.5</v>
      </c>
      <c r="AR33" s="91">
        <v>1.5</v>
      </c>
      <c r="AS33" s="91">
        <v>1.5</v>
      </c>
      <c r="AU33" s="109">
        <f>SUMIFS(CALCS!$J$10:$J$14,CALCS!$H$10:$H$14,$AB33)/$Z33</f>
        <v>23.328296790163609</v>
      </c>
      <c r="AX33" s="3" t="s">
        <v>221</v>
      </c>
      <c r="AY33" t="s">
        <v>136</v>
      </c>
      <c r="AZ33" s="92">
        <v>1</v>
      </c>
      <c r="BA33" s="92">
        <v>0.42449464922711061</v>
      </c>
      <c r="BB33" s="92">
        <v>0</v>
      </c>
      <c r="BC33" s="92">
        <v>1</v>
      </c>
      <c r="BD33" s="92">
        <v>0.63135156559651207</v>
      </c>
      <c r="BE33" s="92">
        <v>0.31567578279825603</v>
      </c>
      <c r="BF33" s="92">
        <v>1</v>
      </c>
      <c r="BG33" s="92">
        <v>0.63135156559651207</v>
      </c>
      <c r="BH33" s="92">
        <v>0.63135156559651207</v>
      </c>
      <c r="BI33" s="92">
        <v>1</v>
      </c>
      <c r="BJ33" s="92">
        <v>0.63135156559651207</v>
      </c>
      <c r="BK33" s="92">
        <v>0.63135156559651207</v>
      </c>
      <c r="BL33" s="92">
        <v>1</v>
      </c>
      <c r="BM33" s="92">
        <v>0.63135156559651207</v>
      </c>
      <c r="BN33" s="92">
        <v>0.63135156559651207</v>
      </c>
      <c r="BO33" s="92">
        <v>1</v>
      </c>
      <c r="BP33" s="92">
        <v>0.63135156559651207</v>
      </c>
      <c r="BQ33" s="92">
        <v>0.63135156559651207</v>
      </c>
      <c r="BR33" s="92">
        <v>1</v>
      </c>
      <c r="BS33" s="92">
        <v>0.63135156559651207</v>
      </c>
      <c r="BT33" s="92">
        <v>0.63135156559651207</v>
      </c>
      <c r="BU33" s="92">
        <v>1</v>
      </c>
      <c r="BV33" s="92">
        <v>0.63135156559651207</v>
      </c>
      <c r="BW33" s="92">
        <v>0.63135156559651207</v>
      </c>
      <c r="BX33" s="92">
        <v>1</v>
      </c>
      <c r="BY33" s="92">
        <v>0.63135156559651207</v>
      </c>
      <c r="BZ33" s="92">
        <v>0.63135156559651207</v>
      </c>
      <c r="CA33" s="92">
        <v>1</v>
      </c>
      <c r="CB33" s="92">
        <v>0.63135156559651207</v>
      </c>
      <c r="CC33" s="92">
        <v>0.63135156559651207</v>
      </c>
      <c r="CD33" s="92">
        <v>1</v>
      </c>
      <c r="CE33" s="92">
        <v>0.63135156559651207</v>
      </c>
      <c r="CF33" s="92">
        <v>0.63135156559651207</v>
      </c>
      <c r="CG33" s="92">
        <v>1</v>
      </c>
      <c r="CH33" s="92">
        <v>0.63135156559651207</v>
      </c>
      <c r="CI33" s="92">
        <v>0.63135156559651207</v>
      </c>
      <c r="CJ33" s="92">
        <v>1</v>
      </c>
      <c r="CK33" s="92">
        <v>0.63135156559651207</v>
      </c>
      <c r="CL33" s="92">
        <v>0.63135156559651207</v>
      </c>
      <c r="CM33" s="92">
        <v>1</v>
      </c>
      <c r="CN33" s="92">
        <v>0.63135156559651207</v>
      </c>
      <c r="CO33" s="92">
        <v>0.63135156559651207</v>
      </c>
      <c r="CP33" s="92">
        <v>1</v>
      </c>
      <c r="CQ33" s="92">
        <v>0.63135156559651207</v>
      </c>
      <c r="CR33" s="92">
        <v>0.63135156559651207</v>
      </c>
    </row>
    <row r="34" spans="1:96" x14ac:dyDescent="0.3">
      <c r="A34" s="3" t="str">
        <f>INDEX(Mapping!$Y:$Y,MATCH($C34,Mapping!$W:$W,0))</f>
        <v>Rural</v>
      </c>
      <c r="B34" s="3" t="str">
        <f>INDEX(Mapping!$V:$V,MATCH(C34,Mapping!$W:$W,0))</f>
        <v>SEV</v>
      </c>
      <c r="C34" t="s">
        <v>147</v>
      </c>
      <c r="D34">
        <v>2</v>
      </c>
      <c r="E34" s="20"/>
      <c r="F34" s="76">
        <v>305.15598086124402</v>
      </c>
      <c r="G34" s="76">
        <v>295.60956937799045</v>
      </c>
      <c r="H34" s="76">
        <v>309.27081339712919</v>
      </c>
      <c r="I34" s="76">
        <v>293.98708133971292</v>
      </c>
      <c r="J34" s="76">
        <v>272.41004784688994</v>
      </c>
      <c r="K34" s="76">
        <v>311.73974782566955</v>
      </c>
      <c r="L34" s="76">
        <v>319.43351734899403</v>
      </c>
      <c r="M34" s="76">
        <v>326.94170658999428</v>
      </c>
      <c r="N34" s="76">
        <v>334.2755048296147</v>
      </c>
      <c r="O34" s="76">
        <v>341.52811441013017</v>
      </c>
      <c r="P34" s="76">
        <v>348.71457308788439</v>
      </c>
      <c r="Q34" s="76">
        <v>355.90610384265034</v>
      </c>
      <c r="R34" s="76">
        <v>363.01096688450917</v>
      </c>
      <c r="S34" s="76">
        <v>370.08022683426339</v>
      </c>
      <c r="T34" s="76">
        <v>377.097743901385</v>
      </c>
      <c r="U34" s="76">
        <v>384.08558617388667</v>
      </c>
      <c r="V34" s="76">
        <v>391.02609792819726</v>
      </c>
      <c r="Y34" s="3">
        <v>10</v>
      </c>
      <c r="Z34" s="3">
        <v>6</v>
      </c>
      <c r="AA34" s="3" t="s">
        <v>96</v>
      </c>
      <c r="AB34" s="3" t="s">
        <v>90</v>
      </c>
      <c r="AC34" s="18">
        <f t="shared" si="3"/>
        <v>50</v>
      </c>
      <c r="AE34" s="91">
        <v>23.328296790163609</v>
      </c>
      <c r="AF34" s="91">
        <v>0.6</v>
      </c>
      <c r="AG34" s="91">
        <v>0.6</v>
      </c>
      <c r="AH34" s="91">
        <v>0.6</v>
      </c>
      <c r="AI34" s="91">
        <v>0.6</v>
      </c>
      <c r="AJ34" s="91">
        <v>0.6</v>
      </c>
      <c r="AK34" s="91">
        <v>0.6</v>
      </c>
      <c r="AL34" s="91">
        <v>0.6</v>
      </c>
      <c r="AM34" s="91">
        <v>0.6</v>
      </c>
      <c r="AN34" s="91">
        <v>0.6</v>
      </c>
      <c r="AO34" s="91">
        <v>0.6</v>
      </c>
      <c r="AP34" s="91">
        <v>0.6</v>
      </c>
      <c r="AQ34" s="91">
        <v>0.6</v>
      </c>
      <c r="AR34" s="91">
        <v>0.6</v>
      </c>
      <c r="AS34" s="91">
        <v>0.6</v>
      </c>
      <c r="AU34" s="109">
        <f>SUMIFS(CALCS!$J$10:$J$14,CALCS!$H$10:$H$14,$AB34)/$Z34</f>
        <v>23.328296790163609</v>
      </c>
      <c r="AX34" s="3" t="s">
        <v>221</v>
      </c>
      <c r="AY34" t="s">
        <v>155</v>
      </c>
      <c r="AZ34" s="92">
        <v>1</v>
      </c>
      <c r="BA34" s="92">
        <v>0.24418604651162787</v>
      </c>
      <c r="BB34" s="92">
        <v>0</v>
      </c>
      <c r="BC34" s="92">
        <v>1</v>
      </c>
      <c r="BD34" s="92">
        <v>0.36317829457364342</v>
      </c>
      <c r="BE34" s="92">
        <v>0.18158914728682171</v>
      </c>
      <c r="BF34" s="92">
        <v>1</v>
      </c>
      <c r="BG34" s="92">
        <v>0.36317829457364342</v>
      </c>
      <c r="BH34" s="92">
        <v>0.36317829457364342</v>
      </c>
      <c r="BI34" s="92">
        <v>1</v>
      </c>
      <c r="BJ34" s="92">
        <v>0.36317829457364342</v>
      </c>
      <c r="BK34" s="92">
        <v>0.36317829457364342</v>
      </c>
      <c r="BL34" s="92">
        <v>1</v>
      </c>
      <c r="BM34" s="92">
        <v>0.36317829457364342</v>
      </c>
      <c r="BN34" s="92">
        <v>0.36317829457364342</v>
      </c>
      <c r="BO34" s="92">
        <v>1</v>
      </c>
      <c r="BP34" s="92">
        <v>0.36317829457364342</v>
      </c>
      <c r="BQ34" s="92">
        <v>0.36317829457364342</v>
      </c>
      <c r="BR34" s="92">
        <v>1</v>
      </c>
      <c r="BS34" s="92">
        <v>0.36317829457364342</v>
      </c>
      <c r="BT34" s="92">
        <v>0.36317829457364342</v>
      </c>
      <c r="BU34" s="92">
        <v>1</v>
      </c>
      <c r="BV34" s="92">
        <v>0.36317829457364342</v>
      </c>
      <c r="BW34" s="92">
        <v>0.36317829457364342</v>
      </c>
      <c r="BX34" s="92">
        <v>1</v>
      </c>
      <c r="BY34" s="92">
        <v>0.36317829457364342</v>
      </c>
      <c r="BZ34" s="92">
        <v>0.36317829457364342</v>
      </c>
      <c r="CA34" s="92">
        <v>1</v>
      </c>
      <c r="CB34" s="92">
        <v>0.36317829457364342</v>
      </c>
      <c r="CC34" s="92">
        <v>0.36317829457364342</v>
      </c>
      <c r="CD34" s="92">
        <v>1</v>
      </c>
      <c r="CE34" s="92">
        <v>0.36317829457364342</v>
      </c>
      <c r="CF34" s="92">
        <v>0.36317829457364342</v>
      </c>
      <c r="CG34" s="92">
        <v>1</v>
      </c>
      <c r="CH34" s="92">
        <v>0.36317829457364342</v>
      </c>
      <c r="CI34" s="92">
        <v>0.36317829457364342</v>
      </c>
      <c r="CJ34" s="92">
        <v>1</v>
      </c>
      <c r="CK34" s="92">
        <v>0.36317829457364342</v>
      </c>
      <c r="CL34" s="92">
        <v>0.36317829457364342</v>
      </c>
      <c r="CM34" s="92">
        <v>1</v>
      </c>
      <c r="CN34" s="92">
        <v>0.36317829457364342</v>
      </c>
      <c r="CO34" s="92">
        <v>0.36317829457364342</v>
      </c>
      <c r="CP34" s="92">
        <v>1</v>
      </c>
      <c r="CQ34" s="92">
        <v>0.36317829457364342</v>
      </c>
      <c r="CR34" s="92">
        <v>0.36317829457364342</v>
      </c>
    </row>
    <row r="35" spans="1:96" x14ac:dyDescent="0.3">
      <c r="A35" s="3" t="str">
        <f>INDEX(Mapping!$Y:$Y,MATCH($C35,Mapping!$W:$W,0))</f>
        <v>Rural</v>
      </c>
      <c r="B35" s="3" t="str">
        <f>INDEX(Mapping!$V:$V,MATCH(C35,Mapping!$W:$W,0))</f>
        <v>SEV</v>
      </c>
      <c r="C35" t="s">
        <v>147</v>
      </c>
      <c r="D35">
        <v>3</v>
      </c>
      <c r="E35" s="20"/>
      <c r="F35" s="76">
        <v>290.07559808612439</v>
      </c>
      <c r="G35" s="76">
        <v>281.000956937799</v>
      </c>
      <c r="H35" s="76">
        <v>293.98708133971292</v>
      </c>
      <c r="I35" s="76">
        <v>309.27081339712919</v>
      </c>
      <c r="J35" s="76">
        <v>293.98708133971292</v>
      </c>
      <c r="K35" s="76">
        <v>272.41004784688994</v>
      </c>
      <c r="L35" s="76">
        <v>311.73974782566955</v>
      </c>
      <c r="M35" s="76">
        <v>319.43351734899403</v>
      </c>
      <c r="N35" s="76">
        <v>326.94170658999428</v>
      </c>
      <c r="O35" s="76">
        <v>334.2755048296147</v>
      </c>
      <c r="P35" s="76">
        <v>341.52811441013017</v>
      </c>
      <c r="Q35" s="76">
        <v>348.71457308788439</v>
      </c>
      <c r="R35" s="76">
        <v>355.90610384265034</v>
      </c>
      <c r="S35" s="76">
        <v>363.01096688450917</v>
      </c>
      <c r="T35" s="76">
        <v>370.08022683426339</v>
      </c>
      <c r="U35" s="76">
        <v>377.097743901385</v>
      </c>
      <c r="V35" s="76">
        <v>384.08558617388667</v>
      </c>
      <c r="Y35" s="3">
        <v>10</v>
      </c>
      <c r="Z35" s="3">
        <v>5</v>
      </c>
      <c r="AA35" s="3" t="s">
        <v>96</v>
      </c>
      <c r="AB35" s="3" t="s">
        <v>91</v>
      </c>
      <c r="AC35" s="18">
        <f t="shared" si="3"/>
        <v>51</v>
      </c>
      <c r="AE35" s="91">
        <v>41.315218039407</v>
      </c>
      <c r="AF35" s="91">
        <v>0.6</v>
      </c>
      <c r="AG35" s="91">
        <v>0.6</v>
      </c>
      <c r="AH35" s="91">
        <v>0.6</v>
      </c>
      <c r="AI35" s="91">
        <v>0.6</v>
      </c>
      <c r="AJ35" s="91">
        <v>0.6</v>
      </c>
      <c r="AK35" s="91">
        <v>0.6</v>
      </c>
      <c r="AL35" s="91">
        <v>0.6</v>
      </c>
      <c r="AM35" s="91">
        <v>0.6</v>
      </c>
      <c r="AN35" s="91">
        <v>0.6</v>
      </c>
      <c r="AO35" s="91">
        <v>0.6</v>
      </c>
      <c r="AP35" s="91">
        <v>0.6</v>
      </c>
      <c r="AQ35" s="91">
        <v>0.6</v>
      </c>
      <c r="AR35" s="91">
        <v>0.6</v>
      </c>
      <c r="AS35" s="91">
        <v>0.6</v>
      </c>
      <c r="AU35" s="109">
        <f>SUMIFS(CALCS!$J$10:$J$14,CALCS!$H$10:$H$14,$AB35)/$Z35</f>
        <v>41.315218039407</v>
      </c>
      <c r="AX35" s="3" t="s">
        <v>221</v>
      </c>
      <c r="AY35" t="s">
        <v>170</v>
      </c>
      <c r="AZ35" s="92">
        <v>0.99999999999999978</v>
      </c>
      <c r="BA35" s="92">
        <v>0.21059462010382249</v>
      </c>
      <c r="BB35" s="92">
        <v>0</v>
      </c>
      <c r="BC35" s="92">
        <v>0.99999999999999978</v>
      </c>
      <c r="BD35" s="92">
        <v>0.31321771275758997</v>
      </c>
      <c r="BE35" s="92">
        <v>0.15660885637879499</v>
      </c>
      <c r="BF35" s="92">
        <v>0.99999999999999978</v>
      </c>
      <c r="BG35" s="92">
        <v>0.31321771275758997</v>
      </c>
      <c r="BH35" s="92">
        <v>0.31321771275758997</v>
      </c>
      <c r="BI35" s="92">
        <v>0.99999999999999978</v>
      </c>
      <c r="BJ35" s="92">
        <v>0.31321771275758997</v>
      </c>
      <c r="BK35" s="92">
        <v>0.31321771275758997</v>
      </c>
      <c r="BL35" s="92">
        <v>0.99999999999999978</v>
      </c>
      <c r="BM35" s="92">
        <v>0.31321771275758997</v>
      </c>
      <c r="BN35" s="92">
        <v>0.31321771275758997</v>
      </c>
      <c r="BO35" s="92">
        <v>0.99999999999999978</v>
      </c>
      <c r="BP35" s="92">
        <v>0.31321771275758997</v>
      </c>
      <c r="BQ35" s="92">
        <v>0.31321771275758997</v>
      </c>
      <c r="BR35" s="92">
        <v>0.99999999999999978</v>
      </c>
      <c r="BS35" s="92">
        <v>0.31321771275758997</v>
      </c>
      <c r="BT35" s="92">
        <v>0.31321771275758997</v>
      </c>
      <c r="BU35" s="92">
        <v>0.99999999999999978</v>
      </c>
      <c r="BV35" s="92">
        <v>0.31321771275758997</v>
      </c>
      <c r="BW35" s="92">
        <v>0.31321771275758997</v>
      </c>
      <c r="BX35" s="92">
        <v>0.99999999999999978</v>
      </c>
      <c r="BY35" s="92">
        <v>0.31321771275758997</v>
      </c>
      <c r="BZ35" s="92">
        <v>0.31321771275758997</v>
      </c>
      <c r="CA35" s="92">
        <v>0.99999999999999978</v>
      </c>
      <c r="CB35" s="92">
        <v>0.31321771275758997</v>
      </c>
      <c r="CC35" s="92">
        <v>0.31321771275758997</v>
      </c>
      <c r="CD35" s="92">
        <v>0.99999999999999978</v>
      </c>
      <c r="CE35" s="92">
        <v>0.31321771275758997</v>
      </c>
      <c r="CF35" s="92">
        <v>0.31321771275758997</v>
      </c>
      <c r="CG35" s="92">
        <v>0.99999999999999978</v>
      </c>
      <c r="CH35" s="92">
        <v>0.31321771275758997</v>
      </c>
      <c r="CI35" s="92">
        <v>0.31321771275758997</v>
      </c>
      <c r="CJ35" s="92">
        <v>0.99999999999999978</v>
      </c>
      <c r="CK35" s="92">
        <v>0.31321771275758997</v>
      </c>
      <c r="CL35" s="92">
        <v>0.31321771275758997</v>
      </c>
      <c r="CM35" s="92">
        <v>0.99999999999999978</v>
      </c>
      <c r="CN35" s="92">
        <v>0.31321771275758997</v>
      </c>
      <c r="CO35" s="92">
        <v>0.31321771275758997</v>
      </c>
      <c r="CP35" s="92">
        <v>0.99999999999999978</v>
      </c>
      <c r="CQ35" s="92">
        <v>0.31321771275758997</v>
      </c>
      <c r="CR35" s="92">
        <v>0.31321771275758997</v>
      </c>
    </row>
    <row r="36" spans="1:96" x14ac:dyDescent="0.3">
      <c r="A36" s="3" t="str">
        <f>INDEX(Mapping!$Y:$Y,MATCH($C36,Mapping!$W:$W,0))</f>
        <v>Rural</v>
      </c>
      <c r="B36" s="3" t="str">
        <f>INDEX(Mapping!$V:$V,MATCH(C36,Mapping!$W:$W,0))</f>
        <v>SEV</v>
      </c>
      <c r="C36" t="s">
        <v>147</v>
      </c>
      <c r="D36">
        <v>4</v>
      </c>
      <c r="E36" s="20"/>
      <c r="F36" s="76">
        <v>332.65550239234449</v>
      </c>
      <c r="G36" s="76">
        <v>322.2488038277512</v>
      </c>
      <c r="H36" s="76">
        <v>337.14114832535881</v>
      </c>
      <c r="I36" s="76">
        <v>293.98708133971292</v>
      </c>
      <c r="J36" s="76">
        <v>309.27081339712919</v>
      </c>
      <c r="K36" s="76">
        <v>293.98708133971292</v>
      </c>
      <c r="L36" s="76">
        <v>272.41004784688994</v>
      </c>
      <c r="M36" s="76">
        <v>311.73974782566955</v>
      </c>
      <c r="N36" s="76">
        <v>319.43351734899403</v>
      </c>
      <c r="O36" s="76">
        <v>326.94170658999428</v>
      </c>
      <c r="P36" s="76">
        <v>334.2755048296147</v>
      </c>
      <c r="Q36" s="76">
        <v>341.52811441013017</v>
      </c>
      <c r="R36" s="76">
        <v>348.71457308788439</v>
      </c>
      <c r="S36" s="76">
        <v>355.90610384265034</v>
      </c>
      <c r="T36" s="76">
        <v>363.01096688450917</v>
      </c>
      <c r="U36" s="76">
        <v>370.08022683426339</v>
      </c>
      <c r="V36" s="76">
        <v>377.097743901385</v>
      </c>
      <c r="Y36" s="3">
        <v>10</v>
      </c>
      <c r="Z36" s="3">
        <v>5</v>
      </c>
      <c r="AA36" s="3" t="s">
        <v>96</v>
      </c>
      <c r="AB36" s="3" t="s">
        <v>91</v>
      </c>
      <c r="AC36" s="18">
        <f t="shared" si="3"/>
        <v>52</v>
      </c>
      <c r="AE36" s="91">
        <v>41.315218039407</v>
      </c>
      <c r="AF36" s="91">
        <v>0.6</v>
      </c>
      <c r="AG36" s="91">
        <v>0.6</v>
      </c>
      <c r="AH36" s="91">
        <v>0.6</v>
      </c>
      <c r="AI36" s="91">
        <v>0.6</v>
      </c>
      <c r="AJ36" s="91">
        <v>0.6</v>
      </c>
      <c r="AK36" s="91">
        <v>0.6</v>
      </c>
      <c r="AL36" s="91">
        <v>0.6</v>
      </c>
      <c r="AM36" s="91">
        <v>0.6</v>
      </c>
      <c r="AN36" s="91">
        <v>0.6</v>
      </c>
      <c r="AO36" s="91">
        <v>0.6</v>
      </c>
      <c r="AP36" s="91">
        <v>0.6</v>
      </c>
      <c r="AQ36" s="91">
        <v>0.6</v>
      </c>
      <c r="AR36" s="91">
        <v>0.6</v>
      </c>
      <c r="AS36" s="91">
        <v>0.6</v>
      </c>
      <c r="AU36" s="109">
        <f>SUMIFS(CALCS!$J$10:$J$14,CALCS!$H$10:$H$14,$AB36)/$Z36</f>
        <v>41.315218039407</v>
      </c>
      <c r="AX36" s="3" t="s">
        <v>221</v>
      </c>
      <c r="AY36" t="s">
        <v>114</v>
      </c>
      <c r="AZ36" s="92">
        <v>1</v>
      </c>
      <c r="BA36" s="92">
        <v>0.68865740740740744</v>
      </c>
      <c r="BB36" s="92">
        <v>0</v>
      </c>
      <c r="BC36" s="92">
        <v>1</v>
      </c>
      <c r="BD36" s="92">
        <v>1.024241255144033</v>
      </c>
      <c r="BE36" s="92">
        <v>0.51212062757201648</v>
      </c>
      <c r="BF36" s="92">
        <v>1</v>
      </c>
      <c r="BG36" s="92">
        <v>1.024241255144033</v>
      </c>
      <c r="BH36" s="92">
        <v>1.024241255144033</v>
      </c>
      <c r="BI36" s="92">
        <v>1</v>
      </c>
      <c r="BJ36" s="92">
        <v>1.024241255144033</v>
      </c>
      <c r="BK36" s="92">
        <v>1.024241255144033</v>
      </c>
      <c r="BL36" s="92">
        <v>1</v>
      </c>
      <c r="BM36" s="92">
        <v>1.024241255144033</v>
      </c>
      <c r="BN36" s="92">
        <v>1.024241255144033</v>
      </c>
      <c r="BO36" s="92">
        <v>1</v>
      </c>
      <c r="BP36" s="92">
        <v>1.024241255144033</v>
      </c>
      <c r="BQ36" s="92">
        <v>1.024241255144033</v>
      </c>
      <c r="BR36" s="92">
        <v>1</v>
      </c>
      <c r="BS36" s="92">
        <v>1.024241255144033</v>
      </c>
      <c r="BT36" s="92">
        <v>1.024241255144033</v>
      </c>
      <c r="BU36" s="92">
        <v>1</v>
      </c>
      <c r="BV36" s="92">
        <v>1.024241255144033</v>
      </c>
      <c r="BW36" s="92">
        <v>1.024241255144033</v>
      </c>
      <c r="BX36" s="92">
        <v>1</v>
      </c>
      <c r="BY36" s="92">
        <v>1.024241255144033</v>
      </c>
      <c r="BZ36" s="92">
        <v>1.024241255144033</v>
      </c>
      <c r="CA36" s="92">
        <v>1</v>
      </c>
      <c r="CB36" s="92">
        <v>1.024241255144033</v>
      </c>
      <c r="CC36" s="92">
        <v>1.024241255144033</v>
      </c>
      <c r="CD36" s="92">
        <v>1</v>
      </c>
      <c r="CE36" s="92">
        <v>1.024241255144033</v>
      </c>
      <c r="CF36" s="92">
        <v>1.024241255144033</v>
      </c>
      <c r="CG36" s="92">
        <v>1</v>
      </c>
      <c r="CH36" s="92">
        <v>1.024241255144033</v>
      </c>
      <c r="CI36" s="92">
        <v>1.024241255144033</v>
      </c>
      <c r="CJ36" s="92">
        <v>1</v>
      </c>
      <c r="CK36" s="92">
        <v>1.024241255144033</v>
      </c>
      <c r="CL36" s="92">
        <v>1.024241255144033</v>
      </c>
      <c r="CM36" s="92">
        <v>1</v>
      </c>
      <c r="CN36" s="92">
        <v>1.024241255144033</v>
      </c>
      <c r="CO36" s="92">
        <v>1.024241255144033</v>
      </c>
      <c r="CP36" s="92">
        <v>1</v>
      </c>
      <c r="CQ36" s="92">
        <v>1.024241255144033</v>
      </c>
      <c r="CR36" s="92">
        <v>1.024241255144033</v>
      </c>
    </row>
    <row r="37" spans="1:96" x14ac:dyDescent="0.3">
      <c r="A37" s="3" t="str">
        <f>INDEX(Mapping!$Y:$Y,MATCH($C37,Mapping!$W:$W,0))</f>
        <v>Rural</v>
      </c>
      <c r="B37" s="3" t="str">
        <f>INDEX(Mapping!$V:$V,MATCH(C37,Mapping!$W:$W,0))</f>
        <v>SEV</v>
      </c>
      <c r="C37" t="s">
        <v>147</v>
      </c>
      <c r="D37">
        <v>5</v>
      </c>
      <c r="E37" s="20"/>
      <c r="F37" s="76">
        <v>372.40191387559804</v>
      </c>
      <c r="G37" s="76">
        <v>389.83349282296649</v>
      </c>
      <c r="H37" s="76">
        <v>409.04784688995215</v>
      </c>
      <c r="I37" s="76">
        <v>337.14114832535881</v>
      </c>
      <c r="J37" s="76">
        <v>293.98708133971292</v>
      </c>
      <c r="K37" s="76">
        <v>309.27081339712919</v>
      </c>
      <c r="L37" s="76">
        <v>293.98708133971292</v>
      </c>
      <c r="M37" s="76">
        <v>272.41004784688994</v>
      </c>
      <c r="N37" s="76">
        <v>311.73974782566955</v>
      </c>
      <c r="O37" s="76">
        <v>319.43351734899403</v>
      </c>
      <c r="P37" s="76">
        <v>326.94170658999428</v>
      </c>
      <c r="Q37" s="76">
        <v>334.2755048296147</v>
      </c>
      <c r="R37" s="76">
        <v>341.52811441013017</v>
      </c>
      <c r="S37" s="76">
        <v>348.71457308788439</v>
      </c>
      <c r="T37" s="76">
        <v>355.90610384265034</v>
      </c>
      <c r="U37" s="76">
        <v>363.01096688450917</v>
      </c>
      <c r="V37" s="76">
        <v>370.08022683426339</v>
      </c>
      <c r="Y37" s="3">
        <v>10</v>
      </c>
      <c r="Z37" s="3">
        <v>5</v>
      </c>
      <c r="AA37" s="3" t="s">
        <v>96</v>
      </c>
      <c r="AB37" s="3" t="s">
        <v>91</v>
      </c>
      <c r="AC37" s="18">
        <f t="shared" si="3"/>
        <v>53</v>
      </c>
      <c r="AE37" s="91">
        <v>41.315218039407</v>
      </c>
      <c r="AF37" s="91">
        <v>0.6</v>
      </c>
      <c r="AG37" s="91">
        <v>0.6</v>
      </c>
      <c r="AH37" s="91">
        <v>0.6</v>
      </c>
      <c r="AI37" s="91">
        <v>0.6</v>
      </c>
      <c r="AJ37" s="91">
        <v>0.6</v>
      </c>
      <c r="AK37" s="91">
        <v>0.6</v>
      </c>
      <c r="AL37" s="91">
        <v>0.6</v>
      </c>
      <c r="AM37" s="91">
        <v>0.6</v>
      </c>
      <c r="AN37" s="91">
        <v>0.6</v>
      </c>
      <c r="AO37" s="91">
        <v>0.6</v>
      </c>
      <c r="AP37" s="91">
        <v>0.6</v>
      </c>
      <c r="AQ37" s="91">
        <v>0.6</v>
      </c>
      <c r="AR37" s="91">
        <v>0.6</v>
      </c>
      <c r="AS37" s="91">
        <v>0.6</v>
      </c>
      <c r="AU37" s="109">
        <f>SUMIFS(CALCS!$J$10:$J$14,CALCS!$H$10:$H$14,$AB37)/$Z37</f>
        <v>41.315218039407</v>
      </c>
      <c r="AX37" s="3" t="s">
        <v>221</v>
      </c>
      <c r="AY37" t="s">
        <v>171</v>
      </c>
      <c r="AZ37" s="92">
        <v>0.99999999999999978</v>
      </c>
      <c r="BA37" s="92">
        <v>4.7983870967741931</v>
      </c>
      <c r="BB37" s="92">
        <v>0</v>
      </c>
      <c r="BC37" s="92">
        <v>0.99999999999999978</v>
      </c>
      <c r="BD37" s="92">
        <v>7.1366487455197127</v>
      </c>
      <c r="BE37" s="92">
        <v>3.5683243727598564</v>
      </c>
      <c r="BF37" s="92">
        <v>0.99999999999999978</v>
      </c>
      <c r="BG37" s="92">
        <v>7.1366487455197127</v>
      </c>
      <c r="BH37" s="92">
        <v>7.1366487455197127</v>
      </c>
      <c r="BI37" s="92">
        <v>0.99999999999999978</v>
      </c>
      <c r="BJ37" s="92">
        <v>7.1366487455197127</v>
      </c>
      <c r="BK37" s="92">
        <v>7.1366487455197127</v>
      </c>
      <c r="BL37" s="92">
        <v>0.99999999999999978</v>
      </c>
      <c r="BM37" s="92">
        <v>7.1366487455197127</v>
      </c>
      <c r="BN37" s="92">
        <v>7.1366487455197127</v>
      </c>
      <c r="BO37" s="92">
        <v>0.99999999999999978</v>
      </c>
      <c r="BP37" s="92">
        <v>7.1366487455197127</v>
      </c>
      <c r="BQ37" s="92">
        <v>7.1366487455197127</v>
      </c>
      <c r="BR37" s="92">
        <v>0.99999999999999978</v>
      </c>
      <c r="BS37" s="92">
        <v>7.1366487455197127</v>
      </c>
      <c r="BT37" s="92">
        <v>7.1366487455197127</v>
      </c>
      <c r="BU37" s="92">
        <v>0.99999999999999978</v>
      </c>
      <c r="BV37" s="92">
        <v>7.1366487455197127</v>
      </c>
      <c r="BW37" s="92">
        <v>7.1366487455197127</v>
      </c>
      <c r="BX37" s="92">
        <v>0.99999999999999978</v>
      </c>
      <c r="BY37" s="92">
        <v>7.1366487455197127</v>
      </c>
      <c r="BZ37" s="92">
        <v>7.1366487455197127</v>
      </c>
      <c r="CA37" s="92">
        <v>0.99999999999999978</v>
      </c>
      <c r="CB37" s="92">
        <v>7.1366487455197127</v>
      </c>
      <c r="CC37" s="92">
        <v>7.1366487455197127</v>
      </c>
      <c r="CD37" s="92">
        <v>0.99999999999999978</v>
      </c>
      <c r="CE37" s="92">
        <v>7.1366487455197127</v>
      </c>
      <c r="CF37" s="92">
        <v>7.1366487455197127</v>
      </c>
      <c r="CG37" s="92">
        <v>0.99999999999999978</v>
      </c>
      <c r="CH37" s="92">
        <v>7.1366487455197127</v>
      </c>
      <c r="CI37" s="92">
        <v>7.1366487455197127</v>
      </c>
      <c r="CJ37" s="92">
        <v>0.99999999999999978</v>
      </c>
      <c r="CK37" s="92">
        <v>7.1366487455197127</v>
      </c>
      <c r="CL37" s="92">
        <v>7.1366487455197127</v>
      </c>
      <c r="CM37" s="92">
        <v>0.99999999999999978</v>
      </c>
      <c r="CN37" s="92">
        <v>7.1366487455197127</v>
      </c>
      <c r="CO37" s="92">
        <v>7.1366487455197127</v>
      </c>
      <c r="CP37" s="92">
        <v>0.99999999999999978</v>
      </c>
      <c r="CQ37" s="92">
        <v>7.1366487455197127</v>
      </c>
      <c r="CR37" s="92">
        <v>7.1366487455197127</v>
      </c>
    </row>
    <row r="38" spans="1:96" x14ac:dyDescent="0.3">
      <c r="A38" s="3" t="str">
        <f>INDEX(Mapping!$Y:$Y,MATCH($C38,Mapping!$W:$W,0))</f>
        <v>Rural</v>
      </c>
      <c r="B38" s="3" t="str">
        <f>INDEX(Mapping!$V:$V,MATCH(C38,Mapping!$W:$W,0))</f>
        <v>SEV</v>
      </c>
      <c r="C38" t="s">
        <v>148</v>
      </c>
      <c r="D38">
        <v>0</v>
      </c>
      <c r="E38" s="20"/>
      <c r="F38" s="76">
        <v>503.02364394993043</v>
      </c>
      <c r="G38" s="76">
        <v>495.46648122392207</v>
      </c>
      <c r="H38" s="76">
        <v>518.61029207232264</v>
      </c>
      <c r="I38" s="76">
        <v>562.30263537754661</v>
      </c>
      <c r="J38" s="76">
        <v>577.81713074521076</v>
      </c>
      <c r="K38" s="76">
        <v>593.71601654483334</v>
      </c>
      <c r="L38" s="76">
        <v>610.06799796335281</v>
      </c>
      <c r="M38" s="76">
        <v>626.46660268028961</v>
      </c>
      <c r="N38" s="76">
        <v>642.58401643848526</v>
      </c>
      <c r="O38" s="76">
        <v>658.23736147826639</v>
      </c>
      <c r="P38" s="76">
        <v>673.56206242762335</v>
      </c>
      <c r="Q38" s="76">
        <v>688.43412722192591</v>
      </c>
      <c r="R38" s="76">
        <v>703.0294543927738</v>
      </c>
      <c r="S38" s="76">
        <v>717.57455473259358</v>
      </c>
      <c r="T38" s="76">
        <v>732.02467591601828</v>
      </c>
      <c r="U38" s="76">
        <v>746.45652854799812</v>
      </c>
      <c r="V38" s="76">
        <v>760.84185753699535</v>
      </c>
      <c r="Y38" s="3">
        <v>10</v>
      </c>
      <c r="Z38" s="3">
        <v>5</v>
      </c>
      <c r="AA38" s="3" t="s">
        <v>96</v>
      </c>
      <c r="AB38" s="3" t="s">
        <v>91</v>
      </c>
      <c r="AC38" s="18">
        <f t="shared" si="3"/>
        <v>54</v>
      </c>
      <c r="AE38" s="91">
        <v>41.315218039407</v>
      </c>
      <c r="AF38" s="91">
        <v>0.6</v>
      </c>
      <c r="AG38" s="91">
        <v>0.6</v>
      </c>
      <c r="AH38" s="91">
        <v>0.6</v>
      </c>
      <c r="AI38" s="91">
        <v>0.6</v>
      </c>
      <c r="AJ38" s="91">
        <v>0.6</v>
      </c>
      <c r="AK38" s="91">
        <v>0.6</v>
      </c>
      <c r="AL38" s="91">
        <v>0.6</v>
      </c>
      <c r="AM38" s="91">
        <v>0.6</v>
      </c>
      <c r="AN38" s="91">
        <v>0.6</v>
      </c>
      <c r="AO38" s="91">
        <v>0.6</v>
      </c>
      <c r="AP38" s="91">
        <v>0.6</v>
      </c>
      <c r="AQ38" s="91">
        <v>0.6</v>
      </c>
      <c r="AR38" s="91">
        <v>0.6</v>
      </c>
      <c r="AS38" s="91">
        <v>0.6</v>
      </c>
      <c r="AU38" s="109">
        <f>SUMIFS(CALCS!$J$10:$J$14,CALCS!$H$10:$H$14,$AB38)/$Z38</f>
        <v>41.315218039407</v>
      </c>
      <c r="AX38" s="3" t="s">
        <v>221</v>
      </c>
      <c r="AY38" t="s">
        <v>172</v>
      </c>
      <c r="AZ38" s="92">
        <v>1</v>
      </c>
      <c r="BA38" s="92">
        <v>10.199999999999999</v>
      </c>
      <c r="BB38" s="92">
        <v>0</v>
      </c>
      <c r="BC38" s="92">
        <v>1</v>
      </c>
      <c r="BD38" s="92">
        <v>15.17047619047619</v>
      </c>
      <c r="BE38" s="92">
        <v>7.5852380952380951</v>
      </c>
      <c r="BF38" s="92">
        <v>1</v>
      </c>
      <c r="BG38" s="92">
        <v>15.17047619047619</v>
      </c>
      <c r="BH38" s="92">
        <v>15.17047619047619</v>
      </c>
      <c r="BI38" s="92">
        <v>1</v>
      </c>
      <c r="BJ38" s="92">
        <v>15.17047619047619</v>
      </c>
      <c r="BK38" s="92">
        <v>15.17047619047619</v>
      </c>
      <c r="BL38" s="92">
        <v>1</v>
      </c>
      <c r="BM38" s="92">
        <v>15.17047619047619</v>
      </c>
      <c r="BN38" s="92">
        <v>15.17047619047619</v>
      </c>
      <c r="BO38" s="92">
        <v>1</v>
      </c>
      <c r="BP38" s="92">
        <v>15.17047619047619</v>
      </c>
      <c r="BQ38" s="92">
        <v>15.17047619047619</v>
      </c>
      <c r="BR38" s="92">
        <v>1</v>
      </c>
      <c r="BS38" s="92">
        <v>15.17047619047619</v>
      </c>
      <c r="BT38" s="92">
        <v>15.17047619047619</v>
      </c>
      <c r="BU38" s="92">
        <v>1</v>
      </c>
      <c r="BV38" s="92">
        <v>15.17047619047619</v>
      </c>
      <c r="BW38" s="92">
        <v>15.17047619047619</v>
      </c>
      <c r="BX38" s="92">
        <v>1</v>
      </c>
      <c r="BY38" s="92">
        <v>15.17047619047619</v>
      </c>
      <c r="BZ38" s="92">
        <v>15.17047619047619</v>
      </c>
      <c r="CA38" s="92">
        <v>1</v>
      </c>
      <c r="CB38" s="92">
        <v>15.17047619047619</v>
      </c>
      <c r="CC38" s="92">
        <v>15.17047619047619</v>
      </c>
      <c r="CD38" s="92">
        <v>1</v>
      </c>
      <c r="CE38" s="92">
        <v>15.17047619047619</v>
      </c>
      <c r="CF38" s="92">
        <v>15.17047619047619</v>
      </c>
      <c r="CG38" s="92">
        <v>1</v>
      </c>
      <c r="CH38" s="92">
        <v>15.17047619047619</v>
      </c>
      <c r="CI38" s="92">
        <v>15.17047619047619</v>
      </c>
      <c r="CJ38" s="92">
        <v>1</v>
      </c>
      <c r="CK38" s="92">
        <v>15.17047619047619</v>
      </c>
      <c r="CL38" s="92">
        <v>15.17047619047619</v>
      </c>
      <c r="CM38" s="92">
        <v>1</v>
      </c>
      <c r="CN38" s="92">
        <v>15.17047619047619</v>
      </c>
      <c r="CO38" s="92">
        <v>15.17047619047619</v>
      </c>
      <c r="CP38" s="92">
        <v>1</v>
      </c>
      <c r="CQ38" s="92">
        <v>15.17047619047619</v>
      </c>
      <c r="CR38" s="92">
        <v>15.17047619047619</v>
      </c>
    </row>
    <row r="39" spans="1:96" x14ac:dyDescent="0.3">
      <c r="A39" s="3" t="str">
        <f>INDEX(Mapping!$Y:$Y,MATCH($C39,Mapping!$W:$W,0))</f>
        <v>Rural</v>
      </c>
      <c r="B39" s="3" t="str">
        <f>INDEX(Mapping!$V:$V,MATCH(C39,Mapping!$W:$W,0))</f>
        <v>SEV</v>
      </c>
      <c r="C39" t="s">
        <v>148</v>
      </c>
      <c r="D39">
        <v>1</v>
      </c>
      <c r="E39" s="20"/>
      <c r="F39" s="76">
        <v>511.91098748261476</v>
      </c>
      <c r="G39" s="76">
        <v>504.22030598052851</v>
      </c>
      <c r="H39" s="76">
        <v>527.77301808066761</v>
      </c>
      <c r="I39" s="76">
        <v>518.61029207232264</v>
      </c>
      <c r="J39" s="76">
        <v>562.30263537754661</v>
      </c>
      <c r="K39" s="76">
        <v>577.81713074521076</v>
      </c>
      <c r="L39" s="76">
        <v>593.71601654483334</v>
      </c>
      <c r="M39" s="76">
        <v>610.06799796335281</v>
      </c>
      <c r="N39" s="76">
        <v>626.46660268028961</v>
      </c>
      <c r="O39" s="76">
        <v>642.58401643848526</v>
      </c>
      <c r="P39" s="76">
        <v>658.23736147826639</v>
      </c>
      <c r="Q39" s="76">
        <v>673.56206242762335</v>
      </c>
      <c r="R39" s="76">
        <v>688.43412722192591</v>
      </c>
      <c r="S39" s="76">
        <v>703.0294543927738</v>
      </c>
      <c r="T39" s="76">
        <v>717.57455473259358</v>
      </c>
      <c r="U39" s="76">
        <v>732.02467591601828</v>
      </c>
      <c r="V39" s="76">
        <v>746.45652854799812</v>
      </c>
      <c r="Y39" s="3">
        <v>10</v>
      </c>
      <c r="Z39" s="3">
        <v>5</v>
      </c>
      <c r="AA39" s="3" t="s">
        <v>96</v>
      </c>
      <c r="AB39" s="3" t="s">
        <v>91</v>
      </c>
      <c r="AC39" s="18">
        <f t="shared" si="3"/>
        <v>55</v>
      </c>
      <c r="AE39" s="91">
        <v>41.315218039407</v>
      </c>
      <c r="AF39" s="91">
        <v>0.6</v>
      </c>
      <c r="AG39" s="91">
        <v>0.6</v>
      </c>
      <c r="AH39" s="91">
        <v>0.6</v>
      </c>
      <c r="AI39" s="91">
        <v>0.6</v>
      </c>
      <c r="AJ39" s="91">
        <v>0.6</v>
      </c>
      <c r="AK39" s="91">
        <v>0.6</v>
      </c>
      <c r="AL39" s="91">
        <v>0.6</v>
      </c>
      <c r="AM39" s="91">
        <v>0.6</v>
      </c>
      <c r="AN39" s="91">
        <v>0.6</v>
      </c>
      <c r="AO39" s="91">
        <v>0.6</v>
      </c>
      <c r="AP39" s="91">
        <v>0.6</v>
      </c>
      <c r="AQ39" s="91">
        <v>0.6</v>
      </c>
      <c r="AR39" s="91">
        <v>0.6</v>
      </c>
      <c r="AS39" s="91">
        <v>0.6</v>
      </c>
      <c r="AU39" s="109">
        <f>SUMIFS(CALCS!$J$10:$J$14,CALCS!$H$10:$H$14,$AB39)/$Z39</f>
        <v>41.315218039407</v>
      </c>
      <c r="AX39" s="3" t="s">
        <v>221</v>
      </c>
      <c r="AY39" t="s">
        <v>173</v>
      </c>
      <c r="AZ39" s="92">
        <v>1</v>
      </c>
      <c r="BA39" s="92">
        <v>0.45547333503444754</v>
      </c>
      <c r="BB39" s="92">
        <v>0</v>
      </c>
      <c r="BC39" s="92">
        <v>1</v>
      </c>
      <c r="BD39" s="92">
        <v>0.67742621417028148</v>
      </c>
      <c r="BE39" s="92">
        <v>0.33871310708514074</v>
      </c>
      <c r="BF39" s="92">
        <v>1</v>
      </c>
      <c r="BG39" s="92">
        <v>0.67742621417028148</v>
      </c>
      <c r="BH39" s="92">
        <v>0.67742621417028148</v>
      </c>
      <c r="BI39" s="92">
        <v>1</v>
      </c>
      <c r="BJ39" s="92">
        <v>0.67742621417028148</v>
      </c>
      <c r="BK39" s="92">
        <v>0.67742621417028148</v>
      </c>
      <c r="BL39" s="92">
        <v>1</v>
      </c>
      <c r="BM39" s="92">
        <v>0.67742621417028148</v>
      </c>
      <c r="BN39" s="92">
        <v>0.67742621417028148</v>
      </c>
      <c r="BO39" s="92">
        <v>1</v>
      </c>
      <c r="BP39" s="92">
        <v>0.67742621417028148</v>
      </c>
      <c r="BQ39" s="92">
        <v>0.67742621417028148</v>
      </c>
      <c r="BR39" s="92">
        <v>1</v>
      </c>
      <c r="BS39" s="92">
        <v>0.67742621417028148</v>
      </c>
      <c r="BT39" s="92">
        <v>0.67742621417028148</v>
      </c>
      <c r="BU39" s="92">
        <v>1</v>
      </c>
      <c r="BV39" s="92">
        <v>0.67742621417028148</v>
      </c>
      <c r="BW39" s="92">
        <v>0.67742621417028148</v>
      </c>
      <c r="BX39" s="92">
        <v>1</v>
      </c>
      <c r="BY39" s="92">
        <v>0.67742621417028148</v>
      </c>
      <c r="BZ39" s="92">
        <v>0.67742621417028148</v>
      </c>
      <c r="CA39" s="92">
        <v>1</v>
      </c>
      <c r="CB39" s="92">
        <v>0.67742621417028148</v>
      </c>
      <c r="CC39" s="92">
        <v>0.67742621417028148</v>
      </c>
      <c r="CD39" s="92">
        <v>1</v>
      </c>
      <c r="CE39" s="92">
        <v>0.67742621417028148</v>
      </c>
      <c r="CF39" s="92">
        <v>0.67742621417028148</v>
      </c>
      <c r="CG39" s="92">
        <v>1</v>
      </c>
      <c r="CH39" s="92">
        <v>0.67742621417028148</v>
      </c>
      <c r="CI39" s="92">
        <v>0.67742621417028148</v>
      </c>
      <c r="CJ39" s="92">
        <v>1</v>
      </c>
      <c r="CK39" s="92">
        <v>0.67742621417028148</v>
      </c>
      <c r="CL39" s="92">
        <v>0.67742621417028148</v>
      </c>
      <c r="CM39" s="92">
        <v>1</v>
      </c>
      <c r="CN39" s="92">
        <v>0.67742621417028148</v>
      </c>
      <c r="CO39" s="92">
        <v>0.67742621417028148</v>
      </c>
      <c r="CP39" s="92">
        <v>1</v>
      </c>
      <c r="CQ39" s="92">
        <v>0.67742621417028148</v>
      </c>
      <c r="CR39" s="92">
        <v>0.67742621417028148</v>
      </c>
    </row>
    <row r="40" spans="1:96" x14ac:dyDescent="0.3">
      <c r="A40" s="3" t="str">
        <f>INDEX(Mapping!$Y:$Y,MATCH($C40,Mapping!$W:$W,0))</f>
        <v>Rural</v>
      </c>
      <c r="B40" s="3" t="str">
        <f>INDEX(Mapping!$V:$V,MATCH(C40,Mapping!$W:$W,0))</f>
        <v>SEV</v>
      </c>
      <c r="C40" t="s">
        <v>148</v>
      </c>
      <c r="D40">
        <v>2</v>
      </c>
      <c r="E40" s="20"/>
      <c r="F40" s="76">
        <v>517.2433936022253</v>
      </c>
      <c r="G40" s="76">
        <v>509.47260083449231</v>
      </c>
      <c r="H40" s="76">
        <v>533.27065368567457</v>
      </c>
      <c r="I40" s="76">
        <v>527.77301808066761</v>
      </c>
      <c r="J40" s="76">
        <v>518.61029207232264</v>
      </c>
      <c r="K40" s="76">
        <v>562.30263537754661</v>
      </c>
      <c r="L40" s="76">
        <v>577.81713074521076</v>
      </c>
      <c r="M40" s="76">
        <v>593.71601654483334</v>
      </c>
      <c r="N40" s="76">
        <v>610.06799796335281</v>
      </c>
      <c r="O40" s="76">
        <v>626.46660268028961</v>
      </c>
      <c r="P40" s="76">
        <v>642.58401643848526</v>
      </c>
      <c r="Q40" s="76">
        <v>658.23736147826639</v>
      </c>
      <c r="R40" s="76">
        <v>673.56206242762335</v>
      </c>
      <c r="S40" s="76">
        <v>688.43412722192591</v>
      </c>
      <c r="T40" s="76">
        <v>703.0294543927738</v>
      </c>
      <c r="U40" s="76">
        <v>717.57455473259358</v>
      </c>
      <c r="V40" s="76">
        <v>732.02467591601828</v>
      </c>
      <c r="Y40" s="3">
        <v>10</v>
      </c>
      <c r="Z40" s="3">
        <v>5</v>
      </c>
      <c r="AA40" s="3" t="s">
        <v>96</v>
      </c>
      <c r="AB40" s="3" t="s">
        <v>92</v>
      </c>
      <c r="AC40" s="18">
        <f t="shared" si="3"/>
        <v>56</v>
      </c>
      <c r="AE40" s="91">
        <v>41.894403339024855</v>
      </c>
      <c r="AF40" s="91">
        <v>0.6</v>
      </c>
      <c r="AG40" s="91">
        <v>0.6</v>
      </c>
      <c r="AH40" s="91">
        <v>0.6</v>
      </c>
      <c r="AI40" s="91">
        <v>0.6</v>
      </c>
      <c r="AJ40" s="91">
        <v>0.6</v>
      </c>
      <c r="AK40" s="91">
        <v>0.6</v>
      </c>
      <c r="AL40" s="91">
        <v>0.6</v>
      </c>
      <c r="AM40" s="91">
        <v>0.6</v>
      </c>
      <c r="AN40" s="91">
        <v>0.6</v>
      </c>
      <c r="AO40" s="91">
        <v>0.6</v>
      </c>
      <c r="AP40" s="91">
        <v>0.6</v>
      </c>
      <c r="AQ40" s="91">
        <v>0.6</v>
      </c>
      <c r="AR40" s="91">
        <v>0.6</v>
      </c>
      <c r="AS40" s="91">
        <v>0.6</v>
      </c>
      <c r="AU40" s="109">
        <f>SUMIFS(CALCS!$J$10:$J$14,CALCS!$H$10:$H$14,$AB40)/$Z40</f>
        <v>41.894403339024855</v>
      </c>
      <c r="AX40" s="3" t="s">
        <v>221</v>
      </c>
      <c r="AY40" t="s">
        <v>174</v>
      </c>
      <c r="AZ40" s="92">
        <v>0.99999999999999978</v>
      </c>
      <c r="BA40" s="92">
        <v>2.4252717391304346</v>
      </c>
      <c r="BB40" s="92">
        <v>0</v>
      </c>
      <c r="BC40" s="92">
        <v>0.99999999999999978</v>
      </c>
      <c r="BD40" s="92">
        <v>3.6071105072463765</v>
      </c>
      <c r="BE40" s="92">
        <v>1.8035552536231882</v>
      </c>
      <c r="BF40" s="92">
        <v>0.99999999999999978</v>
      </c>
      <c r="BG40" s="92">
        <v>3.6071105072463765</v>
      </c>
      <c r="BH40" s="92">
        <v>3.6071105072463765</v>
      </c>
      <c r="BI40" s="92">
        <v>0.99999999999999978</v>
      </c>
      <c r="BJ40" s="92">
        <v>3.6071105072463765</v>
      </c>
      <c r="BK40" s="92">
        <v>3.6071105072463765</v>
      </c>
      <c r="BL40" s="92">
        <v>0.99999999999999978</v>
      </c>
      <c r="BM40" s="92">
        <v>3.6071105072463765</v>
      </c>
      <c r="BN40" s="92">
        <v>3.6071105072463765</v>
      </c>
      <c r="BO40" s="92">
        <v>0.99999999999999978</v>
      </c>
      <c r="BP40" s="92">
        <v>3.6071105072463765</v>
      </c>
      <c r="BQ40" s="92">
        <v>3.6071105072463765</v>
      </c>
      <c r="BR40" s="92">
        <v>0.99999999999999978</v>
      </c>
      <c r="BS40" s="92">
        <v>3.6071105072463765</v>
      </c>
      <c r="BT40" s="92">
        <v>3.6071105072463765</v>
      </c>
      <c r="BU40" s="92">
        <v>0.99999999999999978</v>
      </c>
      <c r="BV40" s="92">
        <v>3.6071105072463765</v>
      </c>
      <c r="BW40" s="92">
        <v>3.6071105072463765</v>
      </c>
      <c r="BX40" s="92">
        <v>0.99999999999999978</v>
      </c>
      <c r="BY40" s="92">
        <v>3.6071105072463765</v>
      </c>
      <c r="BZ40" s="92">
        <v>3.6071105072463765</v>
      </c>
      <c r="CA40" s="92">
        <v>0.99999999999999978</v>
      </c>
      <c r="CB40" s="92">
        <v>3.6071105072463765</v>
      </c>
      <c r="CC40" s="92">
        <v>3.6071105072463765</v>
      </c>
      <c r="CD40" s="92">
        <v>0.99999999999999978</v>
      </c>
      <c r="CE40" s="92">
        <v>3.6071105072463765</v>
      </c>
      <c r="CF40" s="92">
        <v>3.6071105072463765</v>
      </c>
      <c r="CG40" s="92">
        <v>0.99999999999999978</v>
      </c>
      <c r="CH40" s="92">
        <v>3.6071105072463765</v>
      </c>
      <c r="CI40" s="92">
        <v>3.6071105072463765</v>
      </c>
      <c r="CJ40" s="92">
        <v>0.99999999999999978</v>
      </c>
      <c r="CK40" s="92">
        <v>3.6071105072463765</v>
      </c>
      <c r="CL40" s="92">
        <v>3.6071105072463765</v>
      </c>
      <c r="CM40" s="92">
        <v>0.99999999999999978</v>
      </c>
      <c r="CN40" s="92">
        <v>3.6071105072463765</v>
      </c>
      <c r="CO40" s="92">
        <v>3.6071105072463765</v>
      </c>
      <c r="CP40" s="92">
        <v>0.99999999999999978</v>
      </c>
      <c r="CQ40" s="92">
        <v>3.6071105072463765</v>
      </c>
      <c r="CR40" s="92">
        <v>3.6071105072463765</v>
      </c>
    </row>
    <row r="41" spans="1:96" x14ac:dyDescent="0.3">
      <c r="A41" s="3" t="str">
        <f>INDEX(Mapping!$Y:$Y,MATCH($C41,Mapping!$W:$W,0))</f>
        <v>Rural</v>
      </c>
      <c r="B41" s="3" t="str">
        <f>INDEX(Mapping!$V:$V,MATCH(C41,Mapping!$W:$W,0))</f>
        <v>SEV</v>
      </c>
      <c r="C41" t="s">
        <v>148</v>
      </c>
      <c r="D41">
        <v>3</v>
      </c>
      <c r="E41" s="20"/>
      <c r="F41" s="76">
        <v>555.45897079276767</v>
      </c>
      <c r="G41" s="76">
        <v>547.11404728789978</v>
      </c>
      <c r="H41" s="76">
        <v>572.67037552155773</v>
      </c>
      <c r="I41" s="76">
        <v>533.27065368567457</v>
      </c>
      <c r="J41" s="76">
        <v>527.77301808066761</v>
      </c>
      <c r="K41" s="76">
        <v>518.61029207232264</v>
      </c>
      <c r="L41" s="76">
        <v>562.30263537754661</v>
      </c>
      <c r="M41" s="76">
        <v>577.81713074521076</v>
      </c>
      <c r="N41" s="76">
        <v>593.71601654483334</v>
      </c>
      <c r="O41" s="76">
        <v>610.06799796335281</v>
      </c>
      <c r="P41" s="76">
        <v>626.46660268028961</v>
      </c>
      <c r="Q41" s="76">
        <v>642.58401643848526</v>
      </c>
      <c r="R41" s="76">
        <v>658.23736147826639</v>
      </c>
      <c r="S41" s="76">
        <v>673.56206242762335</v>
      </c>
      <c r="T41" s="76">
        <v>688.43412722192591</v>
      </c>
      <c r="U41" s="76">
        <v>703.0294543927738</v>
      </c>
      <c r="V41" s="76">
        <v>717.57455473259358</v>
      </c>
      <c r="Y41" s="3">
        <v>10</v>
      </c>
      <c r="Z41" s="3">
        <v>5</v>
      </c>
      <c r="AA41" s="3" t="s">
        <v>96</v>
      </c>
      <c r="AB41" s="3" t="s">
        <v>92</v>
      </c>
      <c r="AC41" s="18">
        <f t="shared" si="3"/>
        <v>57</v>
      </c>
      <c r="AE41" s="91">
        <v>41.894403339024855</v>
      </c>
      <c r="AF41" s="91">
        <v>0.6</v>
      </c>
      <c r="AG41" s="91">
        <v>0.6</v>
      </c>
      <c r="AH41" s="91">
        <v>0.6</v>
      </c>
      <c r="AI41" s="91">
        <v>0.6</v>
      </c>
      <c r="AJ41" s="91">
        <v>0.6</v>
      </c>
      <c r="AK41" s="91">
        <v>0.6</v>
      </c>
      <c r="AL41" s="91">
        <v>0.6</v>
      </c>
      <c r="AM41" s="91">
        <v>0.6</v>
      </c>
      <c r="AN41" s="91">
        <v>0.6</v>
      </c>
      <c r="AO41" s="91">
        <v>0.6</v>
      </c>
      <c r="AP41" s="91">
        <v>0.6</v>
      </c>
      <c r="AQ41" s="91">
        <v>0.6</v>
      </c>
      <c r="AR41" s="91">
        <v>0.6</v>
      </c>
      <c r="AS41" s="91">
        <v>0.6</v>
      </c>
      <c r="AU41" s="109">
        <f>SUMIFS(CALCS!$J$10:$J$14,CALCS!$H$10:$H$14,$AB41)/$Z41</f>
        <v>41.894403339024855</v>
      </c>
      <c r="AX41" s="3" t="s">
        <v>222</v>
      </c>
      <c r="AY41" t="s">
        <v>137</v>
      </c>
      <c r="AZ41" s="92">
        <v>0.99999999999999967</v>
      </c>
      <c r="BA41" s="92">
        <v>0.15746850629874024</v>
      </c>
      <c r="BB41" s="92">
        <v>0</v>
      </c>
      <c r="BC41" s="92">
        <v>0.99999999999999967</v>
      </c>
      <c r="BD41" s="92">
        <v>0.23420315936812636</v>
      </c>
      <c r="BE41" s="92">
        <v>0.11710157968406318</v>
      </c>
      <c r="BF41" s="92">
        <v>0.99999999999999967</v>
      </c>
      <c r="BG41" s="92">
        <v>0.23420315936812636</v>
      </c>
      <c r="BH41" s="92">
        <v>0.23420315936812636</v>
      </c>
      <c r="BI41" s="92">
        <v>0.99999999999999967</v>
      </c>
      <c r="BJ41" s="92">
        <v>0.23420315936812636</v>
      </c>
      <c r="BK41" s="92">
        <v>0.23420315936812636</v>
      </c>
      <c r="BL41" s="92">
        <v>0.99999999999999967</v>
      </c>
      <c r="BM41" s="92">
        <v>0.23420315936812636</v>
      </c>
      <c r="BN41" s="92">
        <v>0.23420315936812636</v>
      </c>
      <c r="BO41" s="92">
        <v>0.99999999999999967</v>
      </c>
      <c r="BP41" s="92">
        <v>0.23420315936812636</v>
      </c>
      <c r="BQ41" s="92">
        <v>0.23420315936812636</v>
      </c>
      <c r="BR41" s="92">
        <v>0.99999999999999967</v>
      </c>
      <c r="BS41" s="92">
        <v>0.23420315936812636</v>
      </c>
      <c r="BT41" s="92">
        <v>0.23420315936812636</v>
      </c>
      <c r="BU41" s="92">
        <v>0.99999999999999967</v>
      </c>
      <c r="BV41" s="92">
        <v>0.23420315936812636</v>
      </c>
      <c r="BW41" s="92">
        <v>0.23420315936812636</v>
      </c>
      <c r="BX41" s="92">
        <v>0.99999999999999967</v>
      </c>
      <c r="BY41" s="92">
        <v>0.23420315936812636</v>
      </c>
      <c r="BZ41" s="92">
        <v>0.23420315936812636</v>
      </c>
      <c r="CA41" s="92">
        <v>0.99999999999999967</v>
      </c>
      <c r="CB41" s="92">
        <v>0.23420315936812636</v>
      </c>
      <c r="CC41" s="92">
        <v>0.23420315936812636</v>
      </c>
      <c r="CD41" s="92">
        <v>0.99999999999999967</v>
      </c>
      <c r="CE41" s="92">
        <v>0.23420315936812636</v>
      </c>
      <c r="CF41" s="92">
        <v>0.23420315936812636</v>
      </c>
      <c r="CG41" s="92">
        <v>0.99999999999999967</v>
      </c>
      <c r="CH41" s="92">
        <v>0.23420315936812636</v>
      </c>
      <c r="CI41" s="92">
        <v>0.23420315936812636</v>
      </c>
      <c r="CJ41" s="92">
        <v>0.99999999999999967</v>
      </c>
      <c r="CK41" s="92">
        <v>0.23420315936812636</v>
      </c>
      <c r="CL41" s="92">
        <v>0.23420315936812636</v>
      </c>
      <c r="CM41" s="92">
        <v>0.99999999999999967</v>
      </c>
      <c r="CN41" s="92">
        <v>0.23420315936812636</v>
      </c>
      <c r="CO41" s="92">
        <v>0.23420315936812636</v>
      </c>
      <c r="CP41" s="92">
        <v>0.99999999999999967</v>
      </c>
      <c r="CQ41" s="92">
        <v>0.23420315936812636</v>
      </c>
      <c r="CR41" s="92">
        <v>0.23420315936812636</v>
      </c>
    </row>
    <row r="42" spans="1:96" x14ac:dyDescent="0.3">
      <c r="A42" s="3" t="str">
        <f>INDEX(Mapping!$Y:$Y,MATCH($C42,Mapping!$W:$W,0))</f>
        <v>Rural</v>
      </c>
      <c r="B42" s="3" t="str">
        <f>INDEX(Mapping!$V:$V,MATCH(C42,Mapping!$W:$W,0))</f>
        <v>SEV</v>
      </c>
      <c r="C42" t="s">
        <v>148</v>
      </c>
      <c r="D42">
        <v>4</v>
      </c>
      <c r="E42" s="20"/>
      <c r="F42" s="76">
        <v>523.46453407510432</v>
      </c>
      <c r="G42" s="76">
        <v>515.60027816411684</v>
      </c>
      <c r="H42" s="76">
        <v>539.68456189151595</v>
      </c>
      <c r="I42" s="76">
        <v>572.67037552155773</v>
      </c>
      <c r="J42" s="76">
        <v>533.27065368567457</v>
      </c>
      <c r="K42" s="76">
        <v>527.77301808066761</v>
      </c>
      <c r="L42" s="76">
        <v>518.61029207232264</v>
      </c>
      <c r="M42" s="76">
        <v>562.30263537754661</v>
      </c>
      <c r="N42" s="76">
        <v>577.81713074521076</v>
      </c>
      <c r="O42" s="76">
        <v>593.71601654483334</v>
      </c>
      <c r="P42" s="76">
        <v>610.06799796335281</v>
      </c>
      <c r="Q42" s="76">
        <v>626.46660268028961</v>
      </c>
      <c r="R42" s="76">
        <v>642.58401643848526</v>
      </c>
      <c r="S42" s="76">
        <v>658.23736147826639</v>
      </c>
      <c r="T42" s="76">
        <v>673.56206242762335</v>
      </c>
      <c r="U42" s="76">
        <v>688.43412722192591</v>
      </c>
      <c r="V42" s="76">
        <v>703.0294543927738</v>
      </c>
      <c r="Y42" s="3">
        <v>10</v>
      </c>
      <c r="Z42" s="3">
        <v>5</v>
      </c>
      <c r="AA42" s="3" t="s">
        <v>96</v>
      </c>
      <c r="AB42" s="3" t="s">
        <v>92</v>
      </c>
      <c r="AC42" s="18">
        <f t="shared" si="3"/>
        <v>58</v>
      </c>
      <c r="AE42" s="91">
        <v>41.894403339024855</v>
      </c>
      <c r="AF42" s="91">
        <v>0.6</v>
      </c>
      <c r="AG42" s="91">
        <v>0.6</v>
      </c>
      <c r="AH42" s="91">
        <v>0.6</v>
      </c>
      <c r="AI42" s="91">
        <v>0.6</v>
      </c>
      <c r="AJ42" s="91">
        <v>0.6</v>
      </c>
      <c r="AK42" s="91">
        <v>0.6</v>
      </c>
      <c r="AL42" s="91">
        <v>0.6</v>
      </c>
      <c r="AM42" s="91">
        <v>0.6</v>
      </c>
      <c r="AN42" s="91">
        <v>0.6</v>
      </c>
      <c r="AO42" s="91">
        <v>0.6</v>
      </c>
      <c r="AP42" s="91">
        <v>0.6</v>
      </c>
      <c r="AQ42" s="91">
        <v>0.6</v>
      </c>
      <c r="AR42" s="91">
        <v>0.6</v>
      </c>
      <c r="AS42" s="91">
        <v>0.6</v>
      </c>
      <c r="AU42" s="109">
        <f>SUMIFS(CALCS!$J$10:$J$14,CALCS!$H$10:$H$14,$AB42)/$Z42</f>
        <v>41.894403339024855</v>
      </c>
      <c r="AX42" s="3" t="s">
        <v>221</v>
      </c>
      <c r="AY42" t="s">
        <v>115</v>
      </c>
      <c r="AZ42" s="92">
        <v>1</v>
      </c>
      <c r="BA42" s="92">
        <v>5.0423728813559316</v>
      </c>
      <c r="BB42" s="92">
        <v>0</v>
      </c>
      <c r="BC42" s="92">
        <v>1</v>
      </c>
      <c r="BD42" s="92">
        <v>7.4995291902071557</v>
      </c>
      <c r="BE42" s="92">
        <v>3.7497645951035778</v>
      </c>
      <c r="BF42" s="92">
        <v>1</v>
      </c>
      <c r="BG42" s="92">
        <v>7.4995291902071557</v>
      </c>
      <c r="BH42" s="92">
        <v>7.4995291902071557</v>
      </c>
      <c r="BI42" s="92">
        <v>1</v>
      </c>
      <c r="BJ42" s="92">
        <v>7.4995291902071557</v>
      </c>
      <c r="BK42" s="92">
        <v>7.4995291902071557</v>
      </c>
      <c r="BL42" s="92">
        <v>1</v>
      </c>
      <c r="BM42" s="92">
        <v>7.4995291902071557</v>
      </c>
      <c r="BN42" s="92">
        <v>7.4995291902071557</v>
      </c>
      <c r="BO42" s="92">
        <v>1</v>
      </c>
      <c r="BP42" s="92">
        <v>7.4995291902071557</v>
      </c>
      <c r="BQ42" s="92">
        <v>7.4995291902071557</v>
      </c>
      <c r="BR42" s="92">
        <v>1</v>
      </c>
      <c r="BS42" s="92">
        <v>7.4995291902071557</v>
      </c>
      <c r="BT42" s="92">
        <v>7.4995291902071557</v>
      </c>
      <c r="BU42" s="92">
        <v>1</v>
      </c>
      <c r="BV42" s="92">
        <v>7.4995291902071557</v>
      </c>
      <c r="BW42" s="92">
        <v>7.4995291902071557</v>
      </c>
      <c r="BX42" s="92">
        <v>1</v>
      </c>
      <c r="BY42" s="92">
        <v>7.4995291902071557</v>
      </c>
      <c r="BZ42" s="92">
        <v>7.4995291902071557</v>
      </c>
      <c r="CA42" s="92">
        <v>1</v>
      </c>
      <c r="CB42" s="92">
        <v>7.4995291902071557</v>
      </c>
      <c r="CC42" s="92">
        <v>7.4995291902071557</v>
      </c>
      <c r="CD42" s="92">
        <v>1</v>
      </c>
      <c r="CE42" s="92">
        <v>7.4995291902071557</v>
      </c>
      <c r="CF42" s="92">
        <v>7.4995291902071557</v>
      </c>
      <c r="CG42" s="92">
        <v>1</v>
      </c>
      <c r="CH42" s="92">
        <v>7.4995291902071557</v>
      </c>
      <c r="CI42" s="92">
        <v>7.4995291902071557</v>
      </c>
      <c r="CJ42" s="92">
        <v>1</v>
      </c>
      <c r="CK42" s="92">
        <v>7.4995291902071557</v>
      </c>
      <c r="CL42" s="92">
        <v>7.4995291902071557</v>
      </c>
      <c r="CM42" s="92">
        <v>1</v>
      </c>
      <c r="CN42" s="92">
        <v>7.4995291902071557</v>
      </c>
      <c r="CO42" s="92">
        <v>7.4995291902071557</v>
      </c>
      <c r="CP42" s="92">
        <v>1</v>
      </c>
      <c r="CQ42" s="92">
        <v>7.4995291902071557</v>
      </c>
      <c r="CR42" s="92">
        <v>7.4995291902071557</v>
      </c>
    </row>
    <row r="43" spans="1:96" x14ac:dyDescent="0.3">
      <c r="A43" s="3" t="str">
        <f>INDEX(Mapping!$Y:$Y,MATCH($C43,Mapping!$W:$W,0))</f>
        <v>Rural</v>
      </c>
      <c r="B43" s="3" t="str">
        <f>INDEX(Mapping!$V:$V,MATCH(C43,Mapping!$W:$W,0))</f>
        <v>SEV</v>
      </c>
      <c r="C43" t="s">
        <v>148</v>
      </c>
      <c r="D43">
        <v>5</v>
      </c>
      <c r="E43" s="20"/>
      <c r="F43" s="76">
        <v>605.09791376912381</v>
      </c>
      <c r="G43" s="76">
        <v>637.81084840055632</v>
      </c>
      <c r="H43" s="76">
        <v>646.76578581363003</v>
      </c>
      <c r="I43" s="76">
        <v>539.68456189151595</v>
      </c>
      <c r="J43" s="76">
        <v>572.67037552155773</v>
      </c>
      <c r="K43" s="76">
        <v>533.27065368567457</v>
      </c>
      <c r="L43" s="76">
        <v>527.77301808066761</v>
      </c>
      <c r="M43" s="76">
        <v>518.61029207232264</v>
      </c>
      <c r="N43" s="76">
        <v>562.30263537754661</v>
      </c>
      <c r="O43" s="76">
        <v>577.81713074521076</v>
      </c>
      <c r="P43" s="76">
        <v>593.71601654483334</v>
      </c>
      <c r="Q43" s="76">
        <v>610.06799796335281</v>
      </c>
      <c r="R43" s="76">
        <v>626.46660268028961</v>
      </c>
      <c r="S43" s="76">
        <v>642.58401643848526</v>
      </c>
      <c r="T43" s="76">
        <v>658.23736147826639</v>
      </c>
      <c r="U43" s="76">
        <v>673.56206242762335</v>
      </c>
      <c r="V43" s="76">
        <v>688.43412722192591</v>
      </c>
      <c r="Y43" s="3">
        <v>10</v>
      </c>
      <c r="Z43" s="3">
        <v>5</v>
      </c>
      <c r="AA43" s="3" t="s">
        <v>96</v>
      </c>
      <c r="AB43" s="3" t="s">
        <v>92</v>
      </c>
      <c r="AC43" s="18">
        <f t="shared" si="3"/>
        <v>59</v>
      </c>
      <c r="AE43" s="91">
        <v>41.894403339024855</v>
      </c>
      <c r="AF43" s="91">
        <v>0.6</v>
      </c>
      <c r="AG43" s="91">
        <v>0.6</v>
      </c>
      <c r="AH43" s="91">
        <v>0.6</v>
      </c>
      <c r="AI43" s="91">
        <v>0.6</v>
      </c>
      <c r="AJ43" s="91">
        <v>0.6</v>
      </c>
      <c r="AK43" s="91">
        <v>0.6</v>
      </c>
      <c r="AL43" s="91">
        <v>0.6</v>
      </c>
      <c r="AM43" s="91">
        <v>0.6</v>
      </c>
      <c r="AN43" s="91">
        <v>0.6</v>
      </c>
      <c r="AO43" s="91">
        <v>0.6</v>
      </c>
      <c r="AP43" s="91">
        <v>0.6</v>
      </c>
      <c r="AQ43" s="91">
        <v>0.6</v>
      </c>
      <c r="AR43" s="91">
        <v>0.6</v>
      </c>
      <c r="AS43" s="91">
        <v>0.6</v>
      </c>
      <c r="AU43" s="109">
        <f>SUMIFS(CALCS!$J$10:$J$14,CALCS!$H$10:$H$14,$AB43)/$Z43</f>
        <v>41.894403339024855</v>
      </c>
      <c r="AX43" s="3" t="s">
        <v>221</v>
      </c>
      <c r="AY43" t="s">
        <v>156</v>
      </c>
      <c r="AZ43" s="92">
        <v>1</v>
      </c>
      <c r="BA43" s="92">
        <v>0.32372143634385203</v>
      </c>
      <c r="BB43" s="92">
        <v>0</v>
      </c>
      <c r="BC43" s="92">
        <v>1</v>
      </c>
      <c r="BD43" s="92">
        <v>0.4814714061177609</v>
      </c>
      <c r="BE43" s="92">
        <v>0.24073570305888045</v>
      </c>
      <c r="BF43" s="92">
        <v>1</v>
      </c>
      <c r="BG43" s="92">
        <v>0.4814714061177609</v>
      </c>
      <c r="BH43" s="92">
        <v>0.4814714061177609</v>
      </c>
      <c r="BI43" s="92">
        <v>1</v>
      </c>
      <c r="BJ43" s="92">
        <v>0.4814714061177609</v>
      </c>
      <c r="BK43" s="92">
        <v>0.4814714061177609</v>
      </c>
      <c r="BL43" s="92">
        <v>1</v>
      </c>
      <c r="BM43" s="92">
        <v>0.4814714061177609</v>
      </c>
      <c r="BN43" s="92">
        <v>0.4814714061177609</v>
      </c>
      <c r="BO43" s="92">
        <v>1</v>
      </c>
      <c r="BP43" s="92">
        <v>0.4814714061177609</v>
      </c>
      <c r="BQ43" s="92">
        <v>0.4814714061177609</v>
      </c>
      <c r="BR43" s="92">
        <v>1</v>
      </c>
      <c r="BS43" s="92">
        <v>0.4814714061177609</v>
      </c>
      <c r="BT43" s="92">
        <v>0.4814714061177609</v>
      </c>
      <c r="BU43" s="92">
        <v>1</v>
      </c>
      <c r="BV43" s="92">
        <v>0.4814714061177609</v>
      </c>
      <c r="BW43" s="92">
        <v>0.4814714061177609</v>
      </c>
      <c r="BX43" s="92">
        <v>1</v>
      </c>
      <c r="BY43" s="92">
        <v>0.4814714061177609</v>
      </c>
      <c r="BZ43" s="92">
        <v>0.4814714061177609</v>
      </c>
      <c r="CA43" s="92">
        <v>1</v>
      </c>
      <c r="CB43" s="92">
        <v>0.4814714061177609</v>
      </c>
      <c r="CC43" s="92">
        <v>0.4814714061177609</v>
      </c>
      <c r="CD43" s="92">
        <v>1</v>
      </c>
      <c r="CE43" s="92">
        <v>0.4814714061177609</v>
      </c>
      <c r="CF43" s="92">
        <v>0.4814714061177609</v>
      </c>
      <c r="CG43" s="92">
        <v>1</v>
      </c>
      <c r="CH43" s="92">
        <v>0.4814714061177609</v>
      </c>
      <c r="CI43" s="92">
        <v>0.4814714061177609</v>
      </c>
      <c r="CJ43" s="92">
        <v>1</v>
      </c>
      <c r="CK43" s="92">
        <v>0.4814714061177609</v>
      </c>
      <c r="CL43" s="92">
        <v>0.4814714061177609</v>
      </c>
      <c r="CM43" s="92">
        <v>1</v>
      </c>
      <c r="CN43" s="92">
        <v>0.4814714061177609</v>
      </c>
      <c r="CO43" s="92">
        <v>0.4814714061177609</v>
      </c>
      <c r="CP43" s="92">
        <v>1</v>
      </c>
      <c r="CQ43" s="92">
        <v>0.4814714061177609</v>
      </c>
      <c r="CR43" s="92">
        <v>0.4814714061177609</v>
      </c>
    </row>
    <row r="44" spans="1:96" x14ac:dyDescent="0.3">
      <c r="A44" s="3" t="str">
        <f>INDEX(Mapping!$Y:$Y,MATCH($C44,Mapping!$W:$W,0))</f>
        <v>Metro</v>
      </c>
      <c r="B44" s="3" t="str">
        <f>INDEX(Mapping!$V:$V,MATCH(C44,Mapping!$W:$W,0))</f>
        <v>SEV</v>
      </c>
      <c r="C44" t="s">
        <v>149</v>
      </c>
      <c r="D44">
        <v>0</v>
      </c>
      <c r="E44" s="20"/>
      <c r="F44" s="76">
        <v>778.06878734054567</v>
      </c>
      <c r="G44" s="76">
        <v>771.68093008235098</v>
      </c>
      <c r="H44" s="76">
        <v>758.34974971742281</v>
      </c>
      <c r="I44" s="76">
        <v>920.53829737440583</v>
      </c>
      <c r="J44" s="76">
        <v>928.7604965326484</v>
      </c>
      <c r="K44" s="76">
        <v>937.61290057091446</v>
      </c>
      <c r="L44" s="76">
        <v>946.1309462383191</v>
      </c>
      <c r="M44" s="76">
        <v>954.14884512968035</v>
      </c>
      <c r="N44" s="76">
        <v>961.86514327262944</v>
      </c>
      <c r="O44" s="76">
        <v>969.75467015762194</v>
      </c>
      <c r="P44" s="76">
        <v>977.26465547559894</v>
      </c>
      <c r="Q44" s="76">
        <v>984.93596193757526</v>
      </c>
      <c r="R44" s="76">
        <v>993.12479835220029</v>
      </c>
      <c r="S44" s="76">
        <v>1001.5722098285114</v>
      </c>
      <c r="T44" s="76">
        <v>1010.1475026103462</v>
      </c>
      <c r="U44" s="76">
        <v>1018.8491234897178</v>
      </c>
      <c r="V44" s="76">
        <v>1027.7653059444638</v>
      </c>
      <c r="Y44" s="3">
        <v>5</v>
      </c>
      <c r="Z44" s="3">
        <v>5</v>
      </c>
      <c r="AA44" s="3" t="s">
        <v>104</v>
      </c>
      <c r="AB44" s="3" t="s">
        <v>92</v>
      </c>
      <c r="AC44" s="18">
        <f t="shared" si="3"/>
        <v>60</v>
      </c>
      <c r="AE44" s="91">
        <v>41.894403339024855</v>
      </c>
      <c r="AF44" s="91">
        <v>0</v>
      </c>
      <c r="AG44" s="91">
        <v>0</v>
      </c>
      <c r="AH44" s="91">
        <v>0</v>
      </c>
      <c r="AI44" s="91">
        <v>0</v>
      </c>
      <c r="AJ44" s="91">
        <v>0</v>
      </c>
      <c r="AK44" s="91">
        <v>0</v>
      </c>
      <c r="AL44" s="91">
        <v>0</v>
      </c>
      <c r="AM44" s="91">
        <v>0</v>
      </c>
      <c r="AN44" s="91">
        <v>0</v>
      </c>
      <c r="AO44" s="91">
        <v>0</v>
      </c>
      <c r="AP44" s="91">
        <v>0</v>
      </c>
      <c r="AQ44" s="91">
        <v>0</v>
      </c>
      <c r="AR44" s="91">
        <v>0</v>
      </c>
      <c r="AS44" s="91">
        <v>0</v>
      </c>
      <c r="AU44" s="109">
        <f>SUMIFS(CALCS!$J$10:$J$14,CALCS!$H$10:$H$14,$AB44)/$Z44</f>
        <v>41.894403339024855</v>
      </c>
      <c r="AX44" s="3" t="s">
        <v>221</v>
      </c>
      <c r="AY44" t="s">
        <v>116</v>
      </c>
      <c r="AZ44" s="92">
        <v>0.99999999999999978</v>
      </c>
      <c r="BA44" s="92">
        <v>0.33477119279819945</v>
      </c>
      <c r="BB44" s="92">
        <v>0</v>
      </c>
      <c r="BC44" s="92">
        <v>0.99999999999999978</v>
      </c>
      <c r="BD44" s="92">
        <v>0.49790572643160785</v>
      </c>
      <c r="BE44" s="92">
        <v>0.24895286321580393</v>
      </c>
      <c r="BF44" s="92">
        <v>0.99999999999999978</v>
      </c>
      <c r="BG44" s="92">
        <v>0.49790572643160785</v>
      </c>
      <c r="BH44" s="92">
        <v>0.49790572643160785</v>
      </c>
      <c r="BI44" s="92">
        <v>0.99999999999999978</v>
      </c>
      <c r="BJ44" s="92">
        <v>0.49790572643160785</v>
      </c>
      <c r="BK44" s="92">
        <v>0.49790572643160785</v>
      </c>
      <c r="BL44" s="92">
        <v>0.99999999999999978</v>
      </c>
      <c r="BM44" s="92">
        <v>0.49790572643160785</v>
      </c>
      <c r="BN44" s="92">
        <v>0.49790572643160785</v>
      </c>
      <c r="BO44" s="92">
        <v>0.99999999999999978</v>
      </c>
      <c r="BP44" s="92">
        <v>0.49790572643160785</v>
      </c>
      <c r="BQ44" s="92">
        <v>0.49790572643160785</v>
      </c>
      <c r="BR44" s="92">
        <v>0.99999999999999978</v>
      </c>
      <c r="BS44" s="92">
        <v>0.49790572643160785</v>
      </c>
      <c r="BT44" s="92">
        <v>0.49790572643160785</v>
      </c>
      <c r="BU44" s="92">
        <v>0.99999999999999978</v>
      </c>
      <c r="BV44" s="92">
        <v>0.49790572643160785</v>
      </c>
      <c r="BW44" s="92">
        <v>0.49790572643160785</v>
      </c>
      <c r="BX44" s="92">
        <v>0.99999999999999978</v>
      </c>
      <c r="BY44" s="92">
        <v>0.49790572643160785</v>
      </c>
      <c r="BZ44" s="92">
        <v>0.49790572643160785</v>
      </c>
      <c r="CA44" s="92">
        <v>0.99999999999999978</v>
      </c>
      <c r="CB44" s="92">
        <v>0.49790572643160785</v>
      </c>
      <c r="CC44" s="92">
        <v>0.49790572643160785</v>
      </c>
      <c r="CD44" s="92">
        <v>0.99999999999999978</v>
      </c>
      <c r="CE44" s="92">
        <v>0.49790572643160785</v>
      </c>
      <c r="CF44" s="92">
        <v>0.49790572643160785</v>
      </c>
      <c r="CG44" s="92">
        <v>0.99999999999999978</v>
      </c>
      <c r="CH44" s="92">
        <v>0.49790572643160785</v>
      </c>
      <c r="CI44" s="92">
        <v>0.49790572643160785</v>
      </c>
      <c r="CJ44" s="92">
        <v>0.99999999999999978</v>
      </c>
      <c r="CK44" s="92">
        <v>0.49790572643160785</v>
      </c>
      <c r="CL44" s="92">
        <v>0.49790572643160785</v>
      </c>
      <c r="CM44" s="92">
        <v>0.99999999999999978</v>
      </c>
      <c r="CN44" s="92">
        <v>0.49790572643160785</v>
      </c>
      <c r="CO44" s="92">
        <v>0.49790572643160785</v>
      </c>
      <c r="CP44" s="92">
        <v>0.99999999999999978</v>
      </c>
      <c r="CQ44" s="92">
        <v>0.49790572643160785</v>
      </c>
      <c r="CR44" s="92">
        <v>0.49790572643160785</v>
      </c>
    </row>
    <row r="45" spans="1:96" x14ac:dyDescent="0.3">
      <c r="A45" s="3" t="str">
        <f>INDEX(Mapping!$Y:$Y,MATCH($C45,Mapping!$W:$W,0))</f>
        <v>Metro</v>
      </c>
      <c r="B45" s="3" t="str">
        <f>INDEX(Mapping!$V:$V,MATCH(C45,Mapping!$W:$W,0))</f>
        <v>SEV</v>
      </c>
      <c r="C45" t="s">
        <v>149</v>
      </c>
      <c r="D45">
        <v>1</v>
      </c>
      <c r="E45" s="20"/>
      <c r="F45" s="76">
        <v>873.97028903600847</v>
      </c>
      <c r="G45" s="76">
        <v>866.79509123203616</v>
      </c>
      <c r="H45" s="76">
        <v>851.82076538026809</v>
      </c>
      <c r="I45" s="76">
        <v>758.34974971742281</v>
      </c>
      <c r="J45" s="76">
        <v>920.53829737440583</v>
      </c>
      <c r="K45" s="76">
        <v>928.7604965326484</v>
      </c>
      <c r="L45" s="76">
        <v>937.61290057091446</v>
      </c>
      <c r="M45" s="76">
        <v>946.1309462383191</v>
      </c>
      <c r="N45" s="76">
        <v>954.14884512968035</v>
      </c>
      <c r="O45" s="76">
        <v>961.86514327262944</v>
      </c>
      <c r="P45" s="76">
        <v>969.75467015762194</v>
      </c>
      <c r="Q45" s="76">
        <v>977.26465547559894</v>
      </c>
      <c r="R45" s="76">
        <v>984.93596193757526</v>
      </c>
      <c r="S45" s="76">
        <v>993.12479835220029</v>
      </c>
      <c r="T45" s="76">
        <v>1001.5722098285114</v>
      </c>
      <c r="U45" s="76">
        <v>1010.1475026103462</v>
      </c>
      <c r="V45" s="76">
        <v>1018.8491234897178</v>
      </c>
      <c r="Y45" s="3">
        <v>5</v>
      </c>
      <c r="Z45" s="3">
        <v>4</v>
      </c>
      <c r="AA45" s="3" t="s">
        <v>104</v>
      </c>
      <c r="AB45" s="3" t="s">
        <v>93</v>
      </c>
      <c r="AC45" s="18">
        <f t="shared" si="3"/>
        <v>61</v>
      </c>
      <c r="AE45" s="91">
        <v>55.263930671870341</v>
      </c>
      <c r="AF45" s="91">
        <v>0</v>
      </c>
      <c r="AG45" s="91">
        <v>0</v>
      </c>
      <c r="AH45" s="91">
        <v>0</v>
      </c>
      <c r="AI45" s="91">
        <v>0</v>
      </c>
      <c r="AJ45" s="91">
        <v>0</v>
      </c>
      <c r="AK45" s="91">
        <v>0</v>
      </c>
      <c r="AL45" s="91">
        <v>0</v>
      </c>
      <c r="AM45" s="91">
        <v>0</v>
      </c>
      <c r="AN45" s="91">
        <v>0</v>
      </c>
      <c r="AO45" s="91">
        <v>0</v>
      </c>
      <c r="AP45" s="91">
        <v>0</v>
      </c>
      <c r="AQ45" s="91">
        <v>0</v>
      </c>
      <c r="AR45" s="91">
        <v>0</v>
      </c>
      <c r="AS45" s="91">
        <v>0</v>
      </c>
      <c r="AU45" s="109">
        <f>SUMIFS(CALCS!$J$10:$J$14,CALCS!$H$10:$H$14,$AB45)/$Z45</f>
        <v>55.263930671870341</v>
      </c>
      <c r="AX45" s="3" t="s">
        <v>221</v>
      </c>
      <c r="AY45" t="s">
        <v>157</v>
      </c>
      <c r="AZ45" s="92">
        <v>1</v>
      </c>
      <c r="BA45" s="92">
        <v>0.65940155153306235</v>
      </c>
      <c r="BB45" s="92">
        <v>0</v>
      </c>
      <c r="BC45" s="92">
        <v>1</v>
      </c>
      <c r="BD45" s="92">
        <v>0.98072897426425298</v>
      </c>
      <c r="BE45" s="92">
        <v>0.49036448713212649</v>
      </c>
      <c r="BF45" s="92">
        <v>1</v>
      </c>
      <c r="BG45" s="92">
        <v>0.98072897426425298</v>
      </c>
      <c r="BH45" s="92">
        <v>0.98072897426425298</v>
      </c>
      <c r="BI45" s="92">
        <v>1</v>
      </c>
      <c r="BJ45" s="92">
        <v>0.98072897426425298</v>
      </c>
      <c r="BK45" s="92">
        <v>0.98072897426425298</v>
      </c>
      <c r="BL45" s="92">
        <v>1</v>
      </c>
      <c r="BM45" s="92">
        <v>0.98072897426425298</v>
      </c>
      <c r="BN45" s="92">
        <v>0.98072897426425298</v>
      </c>
      <c r="BO45" s="92">
        <v>1</v>
      </c>
      <c r="BP45" s="92">
        <v>0.98072897426425298</v>
      </c>
      <c r="BQ45" s="92">
        <v>0.98072897426425298</v>
      </c>
      <c r="BR45" s="92">
        <v>1</v>
      </c>
      <c r="BS45" s="92">
        <v>0.98072897426425298</v>
      </c>
      <c r="BT45" s="92">
        <v>0.98072897426425298</v>
      </c>
      <c r="BU45" s="92">
        <v>1</v>
      </c>
      <c r="BV45" s="92">
        <v>0.98072897426425298</v>
      </c>
      <c r="BW45" s="92">
        <v>0.98072897426425298</v>
      </c>
      <c r="BX45" s="92">
        <v>1</v>
      </c>
      <c r="BY45" s="92">
        <v>0.98072897426425298</v>
      </c>
      <c r="BZ45" s="92">
        <v>0.98072897426425298</v>
      </c>
      <c r="CA45" s="92">
        <v>1</v>
      </c>
      <c r="CB45" s="92">
        <v>0.98072897426425298</v>
      </c>
      <c r="CC45" s="92">
        <v>0.98072897426425298</v>
      </c>
      <c r="CD45" s="92">
        <v>1</v>
      </c>
      <c r="CE45" s="92">
        <v>0.98072897426425298</v>
      </c>
      <c r="CF45" s="92">
        <v>0.98072897426425298</v>
      </c>
      <c r="CG45" s="92">
        <v>1</v>
      </c>
      <c r="CH45" s="92">
        <v>0.98072897426425298</v>
      </c>
      <c r="CI45" s="92">
        <v>0.98072897426425298</v>
      </c>
      <c r="CJ45" s="92">
        <v>1</v>
      </c>
      <c r="CK45" s="92">
        <v>0.98072897426425298</v>
      </c>
      <c r="CL45" s="92">
        <v>0.98072897426425298</v>
      </c>
      <c r="CM45" s="92">
        <v>1</v>
      </c>
      <c r="CN45" s="92">
        <v>0.98072897426425298</v>
      </c>
      <c r="CO45" s="92">
        <v>0.98072897426425298</v>
      </c>
      <c r="CP45" s="92">
        <v>1</v>
      </c>
      <c r="CQ45" s="92">
        <v>0.98072897426425298</v>
      </c>
      <c r="CR45" s="92">
        <v>0.98072897426425298</v>
      </c>
    </row>
    <row r="46" spans="1:96" x14ac:dyDescent="0.3">
      <c r="A46" s="3" t="str">
        <f>INDEX(Mapping!$Y:$Y,MATCH($C46,Mapping!$W:$W,0))</f>
        <v>Metro</v>
      </c>
      <c r="B46" s="3" t="str">
        <f>INDEX(Mapping!$V:$V,MATCH(C46,Mapping!$W:$W,0))</f>
        <v>SEV</v>
      </c>
      <c r="C46" t="s">
        <v>149</v>
      </c>
      <c r="D46">
        <v>2</v>
      </c>
      <c r="E46" s="20"/>
      <c r="F46" s="76">
        <v>908.35007266268371</v>
      </c>
      <c r="G46" s="76">
        <v>900.89262070079121</v>
      </c>
      <c r="H46" s="76">
        <v>885.32924269336354</v>
      </c>
      <c r="I46" s="76">
        <v>851.82076538026809</v>
      </c>
      <c r="J46" s="76">
        <v>758.34974971742281</v>
      </c>
      <c r="K46" s="76">
        <v>920.53829737440583</v>
      </c>
      <c r="L46" s="76">
        <v>928.7604965326484</v>
      </c>
      <c r="M46" s="76">
        <v>937.61290057091446</v>
      </c>
      <c r="N46" s="76">
        <v>946.1309462383191</v>
      </c>
      <c r="O46" s="76">
        <v>954.14884512968035</v>
      </c>
      <c r="P46" s="76">
        <v>961.86514327262944</v>
      </c>
      <c r="Q46" s="76">
        <v>969.75467015762194</v>
      </c>
      <c r="R46" s="76">
        <v>977.26465547559894</v>
      </c>
      <c r="S46" s="76">
        <v>984.93596193757526</v>
      </c>
      <c r="T46" s="76">
        <v>993.12479835220029</v>
      </c>
      <c r="U46" s="76">
        <v>1001.5722098285114</v>
      </c>
      <c r="V46" s="76">
        <v>1010.1475026103462</v>
      </c>
      <c r="Y46" s="3">
        <v>5</v>
      </c>
      <c r="Z46" s="3">
        <v>4</v>
      </c>
      <c r="AA46" s="3" t="s">
        <v>104</v>
      </c>
      <c r="AB46" s="3" t="s">
        <v>93</v>
      </c>
      <c r="AC46" s="18">
        <f t="shared" si="3"/>
        <v>62</v>
      </c>
      <c r="AE46" s="91">
        <v>55.263930671870341</v>
      </c>
      <c r="AF46" s="91">
        <v>0</v>
      </c>
      <c r="AG46" s="91">
        <v>0</v>
      </c>
      <c r="AH46" s="91">
        <v>0</v>
      </c>
      <c r="AI46" s="91">
        <v>0</v>
      </c>
      <c r="AJ46" s="91">
        <v>0</v>
      </c>
      <c r="AK46" s="91">
        <v>0</v>
      </c>
      <c r="AL46" s="91">
        <v>0</v>
      </c>
      <c r="AM46" s="91">
        <v>0</v>
      </c>
      <c r="AN46" s="91">
        <v>0</v>
      </c>
      <c r="AO46" s="91">
        <v>0</v>
      </c>
      <c r="AP46" s="91">
        <v>0</v>
      </c>
      <c r="AQ46" s="91">
        <v>0</v>
      </c>
      <c r="AR46" s="91">
        <v>0</v>
      </c>
      <c r="AS46" s="91">
        <v>0</v>
      </c>
      <c r="AU46" s="109">
        <f>SUMIFS(CALCS!$J$10:$J$14,CALCS!$H$10:$H$14,$AB46)/$Z46</f>
        <v>55.263930671870341</v>
      </c>
      <c r="AX46" s="3" t="s">
        <v>221</v>
      </c>
      <c r="AY46" t="s">
        <v>138</v>
      </c>
      <c r="AZ46" s="92">
        <v>1</v>
      </c>
      <c r="BA46" s="92">
        <v>10.028089887640448</v>
      </c>
      <c r="BB46" s="92">
        <v>0</v>
      </c>
      <c r="BC46" s="92">
        <v>1</v>
      </c>
      <c r="BD46" s="92">
        <v>14.914794007490636</v>
      </c>
      <c r="BE46" s="92">
        <v>7.4573970037453181</v>
      </c>
      <c r="BF46" s="92">
        <v>1</v>
      </c>
      <c r="BG46" s="92">
        <v>14.914794007490636</v>
      </c>
      <c r="BH46" s="92">
        <v>14.914794007490636</v>
      </c>
      <c r="BI46" s="92">
        <v>1</v>
      </c>
      <c r="BJ46" s="92">
        <v>14.914794007490636</v>
      </c>
      <c r="BK46" s="92">
        <v>14.914794007490636</v>
      </c>
      <c r="BL46" s="92">
        <v>1</v>
      </c>
      <c r="BM46" s="92">
        <v>14.914794007490636</v>
      </c>
      <c r="BN46" s="92">
        <v>14.914794007490636</v>
      </c>
      <c r="BO46" s="92">
        <v>1</v>
      </c>
      <c r="BP46" s="92">
        <v>14.914794007490636</v>
      </c>
      <c r="BQ46" s="92">
        <v>14.914794007490636</v>
      </c>
      <c r="BR46" s="92">
        <v>1</v>
      </c>
      <c r="BS46" s="92">
        <v>14.914794007490636</v>
      </c>
      <c r="BT46" s="92">
        <v>14.914794007490636</v>
      </c>
      <c r="BU46" s="92">
        <v>1</v>
      </c>
      <c r="BV46" s="92">
        <v>14.914794007490636</v>
      </c>
      <c r="BW46" s="92">
        <v>14.914794007490636</v>
      </c>
      <c r="BX46" s="92">
        <v>1</v>
      </c>
      <c r="BY46" s="92">
        <v>14.914794007490636</v>
      </c>
      <c r="BZ46" s="92">
        <v>14.914794007490636</v>
      </c>
      <c r="CA46" s="92">
        <v>1</v>
      </c>
      <c r="CB46" s="92">
        <v>14.914794007490636</v>
      </c>
      <c r="CC46" s="92">
        <v>14.914794007490636</v>
      </c>
      <c r="CD46" s="92">
        <v>1</v>
      </c>
      <c r="CE46" s="92">
        <v>14.914794007490636</v>
      </c>
      <c r="CF46" s="92">
        <v>14.914794007490636</v>
      </c>
      <c r="CG46" s="92">
        <v>1</v>
      </c>
      <c r="CH46" s="92">
        <v>14.914794007490636</v>
      </c>
      <c r="CI46" s="92">
        <v>14.914794007490636</v>
      </c>
      <c r="CJ46" s="92">
        <v>1</v>
      </c>
      <c r="CK46" s="92">
        <v>14.914794007490636</v>
      </c>
      <c r="CL46" s="92">
        <v>14.914794007490636</v>
      </c>
      <c r="CM46" s="92">
        <v>1</v>
      </c>
      <c r="CN46" s="92">
        <v>14.914794007490636</v>
      </c>
      <c r="CO46" s="92">
        <v>14.914794007490636</v>
      </c>
      <c r="CP46" s="92">
        <v>1</v>
      </c>
      <c r="CQ46" s="92">
        <v>14.914794007490636</v>
      </c>
      <c r="CR46" s="92">
        <v>14.914794007490636</v>
      </c>
    </row>
    <row r="47" spans="1:96" x14ac:dyDescent="0.3">
      <c r="A47" s="3" t="str">
        <f>INDEX(Mapping!$Y:$Y,MATCH($C47,Mapping!$W:$W,0))</f>
        <v>Metro</v>
      </c>
      <c r="B47" s="3" t="str">
        <f>INDEX(Mapping!$V:$V,MATCH(C47,Mapping!$W:$W,0))</f>
        <v>SEV</v>
      </c>
      <c r="C47" t="s">
        <v>149</v>
      </c>
      <c r="D47">
        <v>3</v>
      </c>
      <c r="E47" s="20"/>
      <c r="F47" s="76">
        <v>940.01566284514763</v>
      </c>
      <c r="G47" s="76">
        <v>932.29823994832873</v>
      </c>
      <c r="H47" s="76">
        <v>916.19231390279344</v>
      </c>
      <c r="I47" s="76">
        <v>885.32924269336354</v>
      </c>
      <c r="J47" s="76">
        <v>851.82076538026809</v>
      </c>
      <c r="K47" s="76">
        <v>758.34974971742281</v>
      </c>
      <c r="L47" s="76">
        <v>920.53829737440583</v>
      </c>
      <c r="M47" s="76">
        <v>928.7604965326484</v>
      </c>
      <c r="N47" s="76">
        <v>937.61290057091446</v>
      </c>
      <c r="O47" s="76">
        <v>946.1309462383191</v>
      </c>
      <c r="P47" s="76">
        <v>954.14884512968035</v>
      </c>
      <c r="Q47" s="76">
        <v>961.86514327262944</v>
      </c>
      <c r="R47" s="76">
        <v>969.75467015762194</v>
      </c>
      <c r="S47" s="76">
        <v>977.26465547559894</v>
      </c>
      <c r="T47" s="76">
        <v>984.93596193757526</v>
      </c>
      <c r="U47" s="76">
        <v>993.12479835220029</v>
      </c>
      <c r="V47" s="76">
        <v>1001.5722098285114</v>
      </c>
      <c r="Y47" s="3">
        <v>5</v>
      </c>
      <c r="Z47" s="3">
        <v>4</v>
      </c>
      <c r="AA47" s="3" t="s">
        <v>104</v>
      </c>
      <c r="AB47" s="3" t="s">
        <v>93</v>
      </c>
      <c r="AC47" s="18">
        <f t="shared" si="3"/>
        <v>63</v>
      </c>
      <c r="AE47" s="91">
        <v>55.263930671870341</v>
      </c>
      <c r="AF47" s="91">
        <v>0</v>
      </c>
      <c r="AG47" s="91">
        <v>0</v>
      </c>
      <c r="AH47" s="91">
        <v>0</v>
      </c>
      <c r="AI47" s="91">
        <v>0</v>
      </c>
      <c r="AJ47" s="91">
        <v>0</v>
      </c>
      <c r="AK47" s="91">
        <v>0</v>
      </c>
      <c r="AL47" s="91">
        <v>0</v>
      </c>
      <c r="AM47" s="91">
        <v>0</v>
      </c>
      <c r="AN47" s="91">
        <v>0</v>
      </c>
      <c r="AO47" s="91">
        <v>0</v>
      </c>
      <c r="AP47" s="91">
        <v>0</v>
      </c>
      <c r="AQ47" s="91">
        <v>0</v>
      </c>
      <c r="AR47" s="91">
        <v>0</v>
      </c>
      <c r="AS47" s="91">
        <v>0</v>
      </c>
      <c r="AU47" s="109">
        <f>SUMIFS(CALCS!$J$10:$J$14,CALCS!$H$10:$H$14,$AB47)/$Z47</f>
        <v>55.263930671870341</v>
      </c>
      <c r="AX47" s="3" t="s">
        <v>221</v>
      </c>
      <c r="AY47" t="s">
        <v>139</v>
      </c>
      <c r="AZ47" s="92">
        <v>0.99999999999999978</v>
      </c>
      <c r="BA47" s="92">
        <v>1.1659046374918351</v>
      </c>
      <c r="BB47" s="92">
        <v>0</v>
      </c>
      <c r="BC47" s="92">
        <v>0.99999999999999978</v>
      </c>
      <c r="BD47" s="92">
        <v>1.7340518179838882</v>
      </c>
      <c r="BE47" s="92">
        <v>0.86702590899194409</v>
      </c>
      <c r="BF47" s="92">
        <v>0.99999999999999978</v>
      </c>
      <c r="BG47" s="92">
        <v>1.7340518179838882</v>
      </c>
      <c r="BH47" s="92">
        <v>1.7340518179838882</v>
      </c>
      <c r="BI47" s="92">
        <v>0.99999999999999978</v>
      </c>
      <c r="BJ47" s="92">
        <v>1.7340518179838882</v>
      </c>
      <c r="BK47" s="92">
        <v>1.7340518179838882</v>
      </c>
      <c r="BL47" s="92">
        <v>0.99999999999999978</v>
      </c>
      <c r="BM47" s="92">
        <v>1.7340518179838882</v>
      </c>
      <c r="BN47" s="92">
        <v>1.7340518179838882</v>
      </c>
      <c r="BO47" s="92">
        <v>0.99999999999999978</v>
      </c>
      <c r="BP47" s="92">
        <v>1.7340518179838882</v>
      </c>
      <c r="BQ47" s="92">
        <v>1.7340518179838882</v>
      </c>
      <c r="BR47" s="92">
        <v>0.99999999999999978</v>
      </c>
      <c r="BS47" s="92">
        <v>1.7340518179838882</v>
      </c>
      <c r="BT47" s="92">
        <v>1.7340518179838882</v>
      </c>
      <c r="BU47" s="92">
        <v>0.99999999999999978</v>
      </c>
      <c r="BV47" s="92">
        <v>1.7340518179838882</v>
      </c>
      <c r="BW47" s="92">
        <v>1.7340518179838882</v>
      </c>
      <c r="BX47" s="92">
        <v>0.99999999999999978</v>
      </c>
      <c r="BY47" s="92">
        <v>1.7340518179838882</v>
      </c>
      <c r="BZ47" s="92">
        <v>1.7340518179838882</v>
      </c>
      <c r="CA47" s="92">
        <v>0.99999999999999978</v>
      </c>
      <c r="CB47" s="92">
        <v>1.7340518179838882</v>
      </c>
      <c r="CC47" s="92">
        <v>1.7340518179838882</v>
      </c>
      <c r="CD47" s="92">
        <v>0.99999999999999978</v>
      </c>
      <c r="CE47" s="92">
        <v>1.7340518179838882</v>
      </c>
      <c r="CF47" s="92">
        <v>1.7340518179838882</v>
      </c>
      <c r="CG47" s="92">
        <v>0.99999999999999978</v>
      </c>
      <c r="CH47" s="92">
        <v>1.7340518179838882</v>
      </c>
      <c r="CI47" s="92">
        <v>1.7340518179838882</v>
      </c>
      <c r="CJ47" s="92">
        <v>0.99999999999999978</v>
      </c>
      <c r="CK47" s="92">
        <v>1.7340518179838882</v>
      </c>
      <c r="CL47" s="92">
        <v>1.7340518179838882</v>
      </c>
      <c r="CM47" s="92">
        <v>0.99999999999999978</v>
      </c>
      <c r="CN47" s="92">
        <v>1.7340518179838882</v>
      </c>
      <c r="CO47" s="92">
        <v>1.7340518179838882</v>
      </c>
      <c r="CP47" s="92">
        <v>0.99999999999999978</v>
      </c>
      <c r="CQ47" s="92">
        <v>1.7340518179838882</v>
      </c>
      <c r="CR47" s="92">
        <v>1.7340518179838882</v>
      </c>
    </row>
    <row r="48" spans="1:96" x14ac:dyDescent="0.3">
      <c r="A48" s="3" t="str">
        <f>INDEX(Mapping!$Y:$Y,MATCH($C48,Mapping!$W:$W,0))</f>
        <v>Metro</v>
      </c>
      <c r="B48" s="3" t="str">
        <f>INDEX(Mapping!$V:$V,MATCH(C48,Mapping!$W:$W,0))</f>
        <v>SEV</v>
      </c>
      <c r="C48" t="s">
        <v>149</v>
      </c>
      <c r="D48">
        <v>4</v>
      </c>
      <c r="E48" s="20"/>
      <c r="F48" s="76">
        <v>1015.108348134991</v>
      </c>
      <c r="G48" s="76">
        <v>1006.7744227353463</v>
      </c>
      <c r="H48" s="76">
        <v>989.38188277087022</v>
      </c>
      <c r="I48" s="76">
        <v>916.19231390279344</v>
      </c>
      <c r="J48" s="76">
        <v>885.32924269336354</v>
      </c>
      <c r="K48" s="76">
        <v>851.82076538026809</v>
      </c>
      <c r="L48" s="76">
        <v>758.34974971742281</v>
      </c>
      <c r="M48" s="76">
        <v>920.53829737440583</v>
      </c>
      <c r="N48" s="76">
        <v>928.7604965326484</v>
      </c>
      <c r="O48" s="76">
        <v>937.61290057091446</v>
      </c>
      <c r="P48" s="76">
        <v>946.1309462383191</v>
      </c>
      <c r="Q48" s="76">
        <v>954.14884512968035</v>
      </c>
      <c r="R48" s="76">
        <v>961.86514327262944</v>
      </c>
      <c r="S48" s="76">
        <v>969.75467015762194</v>
      </c>
      <c r="T48" s="76">
        <v>977.26465547559894</v>
      </c>
      <c r="U48" s="76">
        <v>984.93596193757526</v>
      </c>
      <c r="V48" s="76">
        <v>993.12479835220029</v>
      </c>
      <c r="Y48" s="3">
        <v>5</v>
      </c>
      <c r="Z48" s="3">
        <v>4</v>
      </c>
      <c r="AA48" s="3" t="s">
        <v>104</v>
      </c>
      <c r="AB48" s="3" t="s">
        <v>93</v>
      </c>
      <c r="AC48" s="18">
        <f t="shared" si="3"/>
        <v>64</v>
      </c>
      <c r="AE48" s="91">
        <v>55.263930671870341</v>
      </c>
      <c r="AF48" s="91">
        <v>0</v>
      </c>
      <c r="AG48" s="91">
        <v>0</v>
      </c>
      <c r="AH48" s="91">
        <v>0</v>
      </c>
      <c r="AI48" s="91">
        <v>0</v>
      </c>
      <c r="AJ48" s="91">
        <v>0</v>
      </c>
      <c r="AK48" s="91">
        <v>0</v>
      </c>
      <c r="AL48" s="91">
        <v>0</v>
      </c>
      <c r="AM48" s="91">
        <v>0</v>
      </c>
      <c r="AN48" s="91">
        <v>0</v>
      </c>
      <c r="AO48" s="91">
        <v>0</v>
      </c>
      <c r="AP48" s="91">
        <v>0</v>
      </c>
      <c r="AQ48" s="91">
        <v>0</v>
      </c>
      <c r="AR48" s="91">
        <v>0</v>
      </c>
      <c r="AS48" s="91">
        <v>0</v>
      </c>
      <c r="AU48" s="109">
        <f>SUMIFS(CALCS!$J$10:$J$14,CALCS!$H$10:$H$14,$AB48)/$Z48</f>
        <v>55.263930671870341</v>
      </c>
      <c r="AX48" s="3" t="s">
        <v>221</v>
      </c>
      <c r="AY48" t="s">
        <v>117</v>
      </c>
      <c r="AZ48" s="92">
        <v>1</v>
      </c>
      <c r="BA48" s="92">
        <v>0.56061557788944716</v>
      </c>
      <c r="BB48" s="92">
        <v>0</v>
      </c>
      <c r="BC48" s="92">
        <v>1</v>
      </c>
      <c r="BD48" s="92">
        <v>0.83380443886097155</v>
      </c>
      <c r="BE48" s="92">
        <v>0.41690221943048578</v>
      </c>
      <c r="BF48" s="92">
        <v>1</v>
      </c>
      <c r="BG48" s="92">
        <v>0.83380443886097155</v>
      </c>
      <c r="BH48" s="92">
        <v>0.83380443886097155</v>
      </c>
      <c r="BI48" s="92">
        <v>1</v>
      </c>
      <c r="BJ48" s="92">
        <v>0.83380443886097155</v>
      </c>
      <c r="BK48" s="92">
        <v>0.83380443886097155</v>
      </c>
      <c r="BL48" s="92">
        <v>1</v>
      </c>
      <c r="BM48" s="92">
        <v>0.83380443886097155</v>
      </c>
      <c r="BN48" s="92">
        <v>0.83380443886097155</v>
      </c>
      <c r="BO48" s="92">
        <v>1</v>
      </c>
      <c r="BP48" s="92">
        <v>0.83380443886097155</v>
      </c>
      <c r="BQ48" s="92">
        <v>0.83380443886097155</v>
      </c>
      <c r="BR48" s="92">
        <v>1</v>
      </c>
      <c r="BS48" s="92">
        <v>0.83380443886097155</v>
      </c>
      <c r="BT48" s="92">
        <v>0.83380443886097155</v>
      </c>
      <c r="BU48" s="92">
        <v>1</v>
      </c>
      <c r="BV48" s="92">
        <v>0.83380443886097155</v>
      </c>
      <c r="BW48" s="92">
        <v>0.83380443886097155</v>
      </c>
      <c r="BX48" s="92">
        <v>1</v>
      </c>
      <c r="BY48" s="92">
        <v>0.83380443886097155</v>
      </c>
      <c r="BZ48" s="92">
        <v>0.83380443886097155</v>
      </c>
      <c r="CA48" s="92">
        <v>1</v>
      </c>
      <c r="CB48" s="92">
        <v>0.83380443886097155</v>
      </c>
      <c r="CC48" s="92">
        <v>0.83380443886097155</v>
      </c>
      <c r="CD48" s="92">
        <v>1</v>
      </c>
      <c r="CE48" s="92">
        <v>0.83380443886097155</v>
      </c>
      <c r="CF48" s="92">
        <v>0.83380443886097155</v>
      </c>
      <c r="CG48" s="92">
        <v>1</v>
      </c>
      <c r="CH48" s="92">
        <v>0.83380443886097155</v>
      </c>
      <c r="CI48" s="92">
        <v>0.83380443886097155</v>
      </c>
      <c r="CJ48" s="92">
        <v>1</v>
      </c>
      <c r="CK48" s="92">
        <v>0.83380443886097155</v>
      </c>
      <c r="CL48" s="92">
        <v>0.83380443886097155</v>
      </c>
      <c r="CM48" s="92">
        <v>1</v>
      </c>
      <c r="CN48" s="92">
        <v>0.83380443886097155</v>
      </c>
      <c r="CO48" s="92">
        <v>0.83380443886097155</v>
      </c>
      <c r="CP48" s="92">
        <v>1</v>
      </c>
      <c r="CQ48" s="92">
        <v>0.83380443886097155</v>
      </c>
      <c r="CR48" s="92">
        <v>0.83380443886097155</v>
      </c>
    </row>
    <row r="49" spans="1:96" x14ac:dyDescent="0.3">
      <c r="A49" s="3" t="str">
        <f>INDEX(Mapping!$Y:$Y,MATCH($C49,Mapping!$W:$W,0))</f>
        <v>Metro</v>
      </c>
      <c r="B49" s="3" t="str">
        <f>INDEX(Mapping!$V:$V,MATCH(C49,Mapping!$W:$W,0))</f>
        <v>SEV</v>
      </c>
      <c r="C49" t="s">
        <v>149</v>
      </c>
      <c r="D49">
        <v>5</v>
      </c>
      <c r="E49" s="20"/>
      <c r="F49" s="76">
        <v>1348.5380268044566</v>
      </c>
      <c r="G49" s="76">
        <v>1356.4957209752947</v>
      </c>
      <c r="H49" s="76">
        <v>1346.9853059906345</v>
      </c>
      <c r="I49" s="76">
        <v>989.38188277087022</v>
      </c>
      <c r="J49" s="76">
        <v>916.19231390279344</v>
      </c>
      <c r="K49" s="76">
        <v>885.32924269336354</v>
      </c>
      <c r="L49" s="76">
        <v>851.82076538026809</v>
      </c>
      <c r="M49" s="76">
        <v>758.34974971742281</v>
      </c>
      <c r="N49" s="76">
        <v>920.53829737440583</v>
      </c>
      <c r="O49" s="76">
        <v>928.7604965326484</v>
      </c>
      <c r="P49" s="76">
        <v>937.61290057091446</v>
      </c>
      <c r="Q49" s="76">
        <v>946.1309462383191</v>
      </c>
      <c r="R49" s="76">
        <v>954.14884512968035</v>
      </c>
      <c r="S49" s="76">
        <v>961.86514327262944</v>
      </c>
      <c r="T49" s="76">
        <v>969.75467015762194</v>
      </c>
      <c r="U49" s="76">
        <v>977.26465547559894</v>
      </c>
      <c r="V49" s="76">
        <v>984.93596193757526</v>
      </c>
      <c r="AX49" s="3" t="s">
        <v>221</v>
      </c>
      <c r="AY49" t="s">
        <v>118</v>
      </c>
      <c r="AZ49" s="92">
        <v>0.99999999999999978</v>
      </c>
      <c r="BA49" s="92">
        <v>7.4999999999999973</v>
      </c>
      <c r="BB49" s="92">
        <v>0</v>
      </c>
      <c r="BC49" s="92">
        <v>0.99999999999999978</v>
      </c>
      <c r="BD49" s="92">
        <v>11.154761904761903</v>
      </c>
      <c r="BE49" s="92">
        <v>5.5773809523809517</v>
      </c>
      <c r="BF49" s="92">
        <v>0.99999999999999978</v>
      </c>
      <c r="BG49" s="92">
        <v>11.154761904761903</v>
      </c>
      <c r="BH49" s="92">
        <v>11.154761904761903</v>
      </c>
      <c r="BI49" s="92">
        <v>0.99999999999999978</v>
      </c>
      <c r="BJ49" s="92">
        <v>11.154761904761903</v>
      </c>
      <c r="BK49" s="92">
        <v>11.154761904761903</v>
      </c>
      <c r="BL49" s="92">
        <v>0.99999999999999978</v>
      </c>
      <c r="BM49" s="92">
        <v>11.154761904761903</v>
      </c>
      <c r="BN49" s="92">
        <v>11.154761904761903</v>
      </c>
      <c r="BO49" s="92">
        <v>0.99999999999999978</v>
      </c>
      <c r="BP49" s="92">
        <v>11.154761904761903</v>
      </c>
      <c r="BQ49" s="92">
        <v>11.154761904761903</v>
      </c>
      <c r="BR49" s="92">
        <v>0.99999999999999978</v>
      </c>
      <c r="BS49" s="92">
        <v>11.154761904761903</v>
      </c>
      <c r="BT49" s="92">
        <v>11.154761904761903</v>
      </c>
      <c r="BU49" s="92">
        <v>0.99999999999999978</v>
      </c>
      <c r="BV49" s="92">
        <v>11.154761904761903</v>
      </c>
      <c r="BW49" s="92">
        <v>11.154761904761903</v>
      </c>
      <c r="BX49" s="92">
        <v>0.99999999999999978</v>
      </c>
      <c r="BY49" s="92">
        <v>11.154761904761903</v>
      </c>
      <c r="BZ49" s="92">
        <v>11.154761904761903</v>
      </c>
      <c r="CA49" s="92">
        <v>0.99999999999999978</v>
      </c>
      <c r="CB49" s="92">
        <v>11.154761904761903</v>
      </c>
      <c r="CC49" s="92">
        <v>11.154761904761903</v>
      </c>
      <c r="CD49" s="92">
        <v>0.99999999999999978</v>
      </c>
      <c r="CE49" s="92">
        <v>11.154761904761903</v>
      </c>
      <c r="CF49" s="92">
        <v>11.154761904761903</v>
      </c>
      <c r="CG49" s="92">
        <v>0.99999999999999978</v>
      </c>
      <c r="CH49" s="92">
        <v>11.154761904761903</v>
      </c>
      <c r="CI49" s="92">
        <v>11.154761904761903</v>
      </c>
      <c r="CJ49" s="92">
        <v>0.99999999999999978</v>
      </c>
      <c r="CK49" s="92">
        <v>11.154761904761903</v>
      </c>
      <c r="CL49" s="92">
        <v>11.154761904761903</v>
      </c>
      <c r="CM49" s="92">
        <v>0.99999999999999978</v>
      </c>
      <c r="CN49" s="92">
        <v>11.154761904761903</v>
      </c>
      <c r="CO49" s="92">
        <v>11.154761904761903</v>
      </c>
      <c r="CP49" s="92">
        <v>0.99999999999999978</v>
      </c>
      <c r="CQ49" s="92">
        <v>11.154761904761903</v>
      </c>
      <c r="CR49" s="92">
        <v>11.154761904761903</v>
      </c>
    </row>
    <row r="50" spans="1:96" x14ac:dyDescent="0.3">
      <c r="A50" s="3" t="str">
        <f>INDEX(Mapping!$Y:$Y,MATCH($C50,Mapping!$W:$W,0))</f>
        <v>Rural</v>
      </c>
      <c r="B50" s="3" t="str">
        <f>INDEX(Mapping!$V:$V,MATCH(C50,Mapping!$W:$W,0))</f>
        <v>NEV</v>
      </c>
      <c r="C50" t="s">
        <v>112</v>
      </c>
      <c r="D50">
        <v>0</v>
      </c>
      <c r="E50" s="20"/>
      <c r="F50" s="76">
        <v>112.71217712177122</v>
      </c>
      <c r="G50" s="76">
        <v>109.53505535055351</v>
      </c>
      <c r="H50" s="76">
        <v>110.14022140221402</v>
      </c>
      <c r="I50" s="76">
        <v>112.23210933614337</v>
      </c>
      <c r="J50" s="76">
        <v>112.06982199253018</v>
      </c>
      <c r="K50" s="76">
        <v>111.99605709843387</v>
      </c>
      <c r="L50" s="76">
        <v>111.9972977264882</v>
      </c>
      <c r="M50" s="76">
        <v>112.0579075199731</v>
      </c>
      <c r="N50" s="76">
        <v>112.15963599777498</v>
      </c>
      <c r="O50" s="76">
        <v>112.28530726344029</v>
      </c>
      <c r="P50" s="76">
        <v>112.42393206267985</v>
      </c>
      <c r="Q50" s="76">
        <v>112.57660081522741</v>
      </c>
      <c r="R50" s="76">
        <v>112.73187875026142</v>
      </c>
      <c r="S50" s="76">
        <v>112.8974741557932</v>
      </c>
      <c r="T50" s="76">
        <v>113.09809110804997</v>
      </c>
      <c r="U50" s="76">
        <v>113.29239164713245</v>
      </c>
      <c r="V50" s="76">
        <v>113.47726051380455</v>
      </c>
      <c r="AX50" s="3" t="s">
        <v>221</v>
      </c>
      <c r="AY50" t="s">
        <v>175</v>
      </c>
      <c r="AZ50" s="92">
        <v>1</v>
      </c>
      <c r="BA50" s="92">
        <v>0.45745771399282414</v>
      </c>
      <c r="BB50" s="92">
        <v>0</v>
      </c>
      <c r="BC50" s="92">
        <v>1</v>
      </c>
      <c r="BD50" s="92">
        <v>0.68037758414488292</v>
      </c>
      <c r="BE50" s="92">
        <v>0.34018879207244146</v>
      </c>
      <c r="BF50" s="92">
        <v>1</v>
      </c>
      <c r="BG50" s="92">
        <v>0.68037758414488292</v>
      </c>
      <c r="BH50" s="92">
        <v>0.68037758414488292</v>
      </c>
      <c r="BI50" s="92">
        <v>1</v>
      </c>
      <c r="BJ50" s="92">
        <v>0.68037758414488292</v>
      </c>
      <c r="BK50" s="92">
        <v>0.68037758414488292</v>
      </c>
      <c r="BL50" s="92">
        <v>1</v>
      </c>
      <c r="BM50" s="92">
        <v>0.68037758414488292</v>
      </c>
      <c r="BN50" s="92">
        <v>0.68037758414488292</v>
      </c>
      <c r="BO50" s="92">
        <v>1</v>
      </c>
      <c r="BP50" s="92">
        <v>0.68037758414488292</v>
      </c>
      <c r="BQ50" s="92">
        <v>0.68037758414488292</v>
      </c>
      <c r="BR50" s="92">
        <v>1</v>
      </c>
      <c r="BS50" s="92">
        <v>0.68037758414488292</v>
      </c>
      <c r="BT50" s="92">
        <v>0.68037758414488292</v>
      </c>
      <c r="BU50" s="92">
        <v>1</v>
      </c>
      <c r="BV50" s="92">
        <v>0.68037758414488292</v>
      </c>
      <c r="BW50" s="92">
        <v>0.68037758414488292</v>
      </c>
      <c r="BX50" s="92">
        <v>1</v>
      </c>
      <c r="BY50" s="92">
        <v>0.68037758414488292</v>
      </c>
      <c r="BZ50" s="92">
        <v>0.68037758414488292</v>
      </c>
      <c r="CA50" s="92">
        <v>1</v>
      </c>
      <c r="CB50" s="92">
        <v>0.68037758414488292</v>
      </c>
      <c r="CC50" s="92">
        <v>0.68037758414488292</v>
      </c>
      <c r="CD50" s="92">
        <v>1</v>
      </c>
      <c r="CE50" s="92">
        <v>0.68037758414488292</v>
      </c>
      <c r="CF50" s="92">
        <v>0.68037758414488292</v>
      </c>
      <c r="CG50" s="92">
        <v>1</v>
      </c>
      <c r="CH50" s="92">
        <v>0.68037758414488292</v>
      </c>
      <c r="CI50" s="92">
        <v>0.68037758414488292</v>
      </c>
      <c r="CJ50" s="92">
        <v>1</v>
      </c>
      <c r="CK50" s="92">
        <v>0.68037758414488292</v>
      </c>
      <c r="CL50" s="92">
        <v>0.68037758414488292</v>
      </c>
      <c r="CM50" s="92">
        <v>1</v>
      </c>
      <c r="CN50" s="92">
        <v>0.68037758414488292</v>
      </c>
      <c r="CO50" s="92">
        <v>0.68037758414488292</v>
      </c>
      <c r="CP50" s="92">
        <v>1</v>
      </c>
      <c r="CQ50" s="92">
        <v>0.68037758414488292</v>
      </c>
      <c r="CR50" s="92">
        <v>0.68037758414488292</v>
      </c>
    </row>
    <row r="51" spans="1:96" x14ac:dyDescent="0.3">
      <c r="A51" s="3" t="str">
        <f>INDEX(Mapping!$Y:$Y,MATCH($C51,Mapping!$W:$W,0))</f>
        <v>Rural</v>
      </c>
      <c r="B51" s="3" t="str">
        <f>INDEX(Mapping!$V:$V,MATCH(C51,Mapping!$W:$W,0))</f>
        <v>NEV</v>
      </c>
      <c r="C51" t="s">
        <v>112</v>
      </c>
      <c r="D51">
        <v>1</v>
      </c>
      <c r="E51" s="20"/>
      <c r="F51" s="76">
        <v>109.96309963099631</v>
      </c>
      <c r="G51" s="76">
        <v>106.86346863468634</v>
      </c>
      <c r="H51" s="76">
        <v>107.45387453874538</v>
      </c>
      <c r="I51" s="76">
        <v>110.14022140221402</v>
      </c>
      <c r="J51" s="76">
        <v>112.23210933614337</v>
      </c>
      <c r="K51" s="76">
        <v>112.06982199253018</v>
      </c>
      <c r="L51" s="76">
        <v>111.99605709843387</v>
      </c>
      <c r="M51" s="76">
        <v>111.9972977264882</v>
      </c>
      <c r="N51" s="76">
        <v>112.0579075199731</v>
      </c>
      <c r="O51" s="76">
        <v>112.15963599777498</v>
      </c>
      <c r="P51" s="76">
        <v>112.28530726344029</v>
      </c>
      <c r="Q51" s="76">
        <v>112.42393206267985</v>
      </c>
      <c r="R51" s="76">
        <v>112.57660081522741</v>
      </c>
      <c r="S51" s="76">
        <v>112.73187875026142</v>
      </c>
      <c r="T51" s="76">
        <v>112.8974741557932</v>
      </c>
      <c r="U51" s="76">
        <v>113.09809110804997</v>
      </c>
      <c r="V51" s="76">
        <v>113.29239164713245</v>
      </c>
      <c r="AX51" s="3" t="s">
        <v>221</v>
      </c>
      <c r="AY51" t="s">
        <v>119</v>
      </c>
      <c r="AZ51" s="92">
        <v>0.99999999999999978</v>
      </c>
      <c r="BA51" s="92">
        <v>0.40049360556428082</v>
      </c>
      <c r="BB51" s="92">
        <v>0</v>
      </c>
      <c r="BC51" s="92">
        <v>0.99999999999999978</v>
      </c>
      <c r="BD51" s="92">
        <v>0.59565477525989063</v>
      </c>
      <c r="BE51" s="92">
        <v>0.29782738762994532</v>
      </c>
      <c r="BF51" s="92">
        <v>0.99999999999999978</v>
      </c>
      <c r="BG51" s="92">
        <v>0.59565477525989063</v>
      </c>
      <c r="BH51" s="92">
        <v>0.59565477525989063</v>
      </c>
      <c r="BI51" s="92">
        <v>0.99999999999999978</v>
      </c>
      <c r="BJ51" s="92">
        <v>0.59565477525989063</v>
      </c>
      <c r="BK51" s="92">
        <v>0.59565477525989063</v>
      </c>
      <c r="BL51" s="92">
        <v>0.99999999999999978</v>
      </c>
      <c r="BM51" s="92">
        <v>0.59565477525989063</v>
      </c>
      <c r="BN51" s="92">
        <v>0.59565477525989063</v>
      </c>
      <c r="BO51" s="92">
        <v>0.99999999999999978</v>
      </c>
      <c r="BP51" s="92">
        <v>0.59565477525989063</v>
      </c>
      <c r="BQ51" s="92">
        <v>0.59565477525989063</v>
      </c>
      <c r="BR51" s="92">
        <v>0.99999999999999978</v>
      </c>
      <c r="BS51" s="92">
        <v>0.59565477525989063</v>
      </c>
      <c r="BT51" s="92">
        <v>0.59565477525989063</v>
      </c>
      <c r="BU51" s="92">
        <v>0.99999999999999978</v>
      </c>
      <c r="BV51" s="92">
        <v>0.59565477525989063</v>
      </c>
      <c r="BW51" s="92">
        <v>0.59565477525989063</v>
      </c>
      <c r="BX51" s="92">
        <v>0.99999999999999978</v>
      </c>
      <c r="BY51" s="92">
        <v>0.59565477525989063</v>
      </c>
      <c r="BZ51" s="92">
        <v>0.59565477525989063</v>
      </c>
      <c r="CA51" s="92">
        <v>0.99999999999999978</v>
      </c>
      <c r="CB51" s="92">
        <v>0.59565477525989063</v>
      </c>
      <c r="CC51" s="92">
        <v>0.59565477525989063</v>
      </c>
      <c r="CD51" s="92">
        <v>0.99999999999999978</v>
      </c>
      <c r="CE51" s="92">
        <v>0.59565477525989063</v>
      </c>
      <c r="CF51" s="92">
        <v>0.59565477525989063</v>
      </c>
      <c r="CG51" s="92">
        <v>0.99999999999999978</v>
      </c>
      <c r="CH51" s="92">
        <v>0.59565477525989063</v>
      </c>
      <c r="CI51" s="92">
        <v>0.59565477525989063</v>
      </c>
      <c r="CJ51" s="92">
        <v>0.99999999999999978</v>
      </c>
      <c r="CK51" s="92">
        <v>0.59565477525989063</v>
      </c>
      <c r="CL51" s="92">
        <v>0.59565477525989063</v>
      </c>
      <c r="CM51" s="92">
        <v>0.99999999999999978</v>
      </c>
      <c r="CN51" s="92">
        <v>0.59565477525989063</v>
      </c>
      <c r="CO51" s="92">
        <v>0.59565477525989063</v>
      </c>
      <c r="CP51" s="92">
        <v>0.99999999999999978</v>
      </c>
      <c r="CQ51" s="92">
        <v>0.59565477525989063</v>
      </c>
      <c r="CR51" s="92">
        <v>0.59565477525989063</v>
      </c>
    </row>
    <row r="52" spans="1:96" x14ac:dyDescent="0.3">
      <c r="A52" s="3" t="str">
        <f>INDEX(Mapping!$Y:$Y,MATCH($C52,Mapping!$W:$W,0))</f>
        <v>Rural</v>
      </c>
      <c r="B52" s="3" t="str">
        <f>INDEX(Mapping!$V:$V,MATCH(C52,Mapping!$W:$W,0))</f>
        <v>NEV</v>
      </c>
      <c r="C52" t="s">
        <v>112</v>
      </c>
      <c r="D52">
        <v>2</v>
      </c>
      <c r="E52" s="20"/>
      <c r="F52" s="76">
        <v>129.20664206642067</v>
      </c>
      <c r="G52" s="76">
        <v>125.56457564575646</v>
      </c>
      <c r="H52" s="76">
        <v>126.25830258302584</v>
      </c>
      <c r="I52" s="76">
        <v>107.45387453874538</v>
      </c>
      <c r="J52" s="76">
        <v>110.14022140221402</v>
      </c>
      <c r="K52" s="76">
        <v>112.23210933614337</v>
      </c>
      <c r="L52" s="76">
        <v>112.06982199253018</v>
      </c>
      <c r="M52" s="76">
        <v>111.99605709843387</v>
      </c>
      <c r="N52" s="76">
        <v>111.9972977264882</v>
      </c>
      <c r="O52" s="76">
        <v>112.0579075199731</v>
      </c>
      <c r="P52" s="76">
        <v>112.15963599777498</v>
      </c>
      <c r="Q52" s="76">
        <v>112.28530726344029</v>
      </c>
      <c r="R52" s="76">
        <v>112.42393206267985</v>
      </c>
      <c r="S52" s="76">
        <v>112.57660081522741</v>
      </c>
      <c r="T52" s="76">
        <v>112.73187875026142</v>
      </c>
      <c r="U52" s="76">
        <v>112.8974741557932</v>
      </c>
      <c r="V52" s="76">
        <v>113.09809110804997</v>
      </c>
      <c r="AX52" s="3" t="s">
        <v>221</v>
      </c>
      <c r="AY52" t="s">
        <v>176</v>
      </c>
      <c r="AZ52" s="92">
        <v>0.99999999999999978</v>
      </c>
      <c r="BA52" s="92">
        <v>0.476381104883907</v>
      </c>
      <c r="BB52" s="92">
        <v>0</v>
      </c>
      <c r="BC52" s="92">
        <v>0.99999999999999978</v>
      </c>
      <c r="BD52" s="92">
        <v>0.7085223734543189</v>
      </c>
      <c r="BE52" s="92">
        <v>0.35426118672715945</v>
      </c>
      <c r="BF52" s="92">
        <v>0.99999999999999978</v>
      </c>
      <c r="BG52" s="92">
        <v>0.7085223734543189</v>
      </c>
      <c r="BH52" s="92">
        <v>0.7085223734543189</v>
      </c>
      <c r="BI52" s="92">
        <v>0.99999999999999978</v>
      </c>
      <c r="BJ52" s="92">
        <v>0.7085223734543189</v>
      </c>
      <c r="BK52" s="92">
        <v>0.7085223734543189</v>
      </c>
      <c r="BL52" s="92">
        <v>0.99999999999999978</v>
      </c>
      <c r="BM52" s="92">
        <v>0.7085223734543189</v>
      </c>
      <c r="BN52" s="92">
        <v>0.7085223734543189</v>
      </c>
      <c r="BO52" s="92">
        <v>0.99999999999999978</v>
      </c>
      <c r="BP52" s="92">
        <v>0.7085223734543189</v>
      </c>
      <c r="BQ52" s="92">
        <v>0.7085223734543189</v>
      </c>
      <c r="BR52" s="92">
        <v>0.99999999999999978</v>
      </c>
      <c r="BS52" s="92">
        <v>0.7085223734543189</v>
      </c>
      <c r="BT52" s="92">
        <v>0.7085223734543189</v>
      </c>
      <c r="BU52" s="92">
        <v>0.99999999999999978</v>
      </c>
      <c r="BV52" s="92">
        <v>0.7085223734543189</v>
      </c>
      <c r="BW52" s="92">
        <v>0.7085223734543189</v>
      </c>
      <c r="BX52" s="92">
        <v>0.99999999999999978</v>
      </c>
      <c r="BY52" s="92">
        <v>0.7085223734543189</v>
      </c>
      <c r="BZ52" s="92">
        <v>0.7085223734543189</v>
      </c>
      <c r="CA52" s="92">
        <v>0.99999999999999978</v>
      </c>
      <c r="CB52" s="92">
        <v>0.7085223734543189</v>
      </c>
      <c r="CC52" s="92">
        <v>0.7085223734543189</v>
      </c>
      <c r="CD52" s="92">
        <v>0.99999999999999978</v>
      </c>
      <c r="CE52" s="92">
        <v>0.7085223734543189</v>
      </c>
      <c r="CF52" s="92">
        <v>0.7085223734543189</v>
      </c>
      <c r="CG52" s="92">
        <v>0.99999999999999978</v>
      </c>
      <c r="CH52" s="92">
        <v>0.7085223734543189</v>
      </c>
      <c r="CI52" s="92">
        <v>0.7085223734543189</v>
      </c>
      <c r="CJ52" s="92">
        <v>0.99999999999999978</v>
      </c>
      <c r="CK52" s="92">
        <v>0.7085223734543189</v>
      </c>
      <c r="CL52" s="92">
        <v>0.7085223734543189</v>
      </c>
      <c r="CM52" s="92">
        <v>0.99999999999999978</v>
      </c>
      <c r="CN52" s="92">
        <v>0.7085223734543189</v>
      </c>
      <c r="CO52" s="92">
        <v>0.7085223734543189</v>
      </c>
      <c r="CP52" s="92">
        <v>0.99999999999999978</v>
      </c>
      <c r="CQ52" s="92">
        <v>0.7085223734543189</v>
      </c>
      <c r="CR52" s="92">
        <v>0.7085223734543189</v>
      </c>
    </row>
    <row r="53" spans="1:96" x14ac:dyDescent="0.3">
      <c r="A53" s="3" t="str">
        <f>INDEX(Mapping!$Y:$Y,MATCH($C53,Mapping!$W:$W,0))</f>
        <v>Rural</v>
      </c>
      <c r="B53" s="3" t="str">
        <f>INDEX(Mapping!$V:$V,MATCH(C53,Mapping!$W:$W,0))</f>
        <v>NEV</v>
      </c>
      <c r="C53" t="s">
        <v>112</v>
      </c>
      <c r="D53">
        <v>3</v>
      </c>
      <c r="E53" s="20"/>
      <c r="F53" s="76">
        <v>140.2029520295203</v>
      </c>
      <c r="G53" s="76">
        <v>136.25092250922509</v>
      </c>
      <c r="H53" s="76">
        <v>137.00369003690037</v>
      </c>
      <c r="I53" s="76">
        <v>126.25830258302584</v>
      </c>
      <c r="J53" s="76">
        <v>107.45387453874538</v>
      </c>
      <c r="K53" s="76">
        <v>110.14022140221402</v>
      </c>
      <c r="L53" s="76">
        <v>112.23210933614337</v>
      </c>
      <c r="M53" s="76">
        <v>112.06982199253018</v>
      </c>
      <c r="N53" s="76">
        <v>111.99605709843387</v>
      </c>
      <c r="O53" s="76">
        <v>111.9972977264882</v>
      </c>
      <c r="P53" s="76">
        <v>112.0579075199731</v>
      </c>
      <c r="Q53" s="76">
        <v>112.15963599777498</v>
      </c>
      <c r="R53" s="76">
        <v>112.28530726344029</v>
      </c>
      <c r="S53" s="76">
        <v>112.42393206267985</v>
      </c>
      <c r="T53" s="76">
        <v>112.57660081522741</v>
      </c>
      <c r="U53" s="76">
        <v>112.73187875026142</v>
      </c>
      <c r="V53" s="76">
        <v>112.8974741557932</v>
      </c>
      <c r="AX53" s="3" t="s">
        <v>222</v>
      </c>
      <c r="AY53" t="s">
        <v>177</v>
      </c>
      <c r="AZ53" s="92">
        <v>1</v>
      </c>
      <c r="BA53" s="92">
        <v>0.22483940042826553</v>
      </c>
      <c r="BB53" s="92">
        <v>0</v>
      </c>
      <c r="BC53" s="92">
        <v>1</v>
      </c>
      <c r="BD53" s="92">
        <v>0.33440399714489649</v>
      </c>
      <c r="BE53" s="92">
        <v>0.16720199857244825</v>
      </c>
      <c r="BF53" s="92">
        <v>1</v>
      </c>
      <c r="BG53" s="92">
        <v>0.33440399714489649</v>
      </c>
      <c r="BH53" s="92">
        <v>0.33440399714489649</v>
      </c>
      <c r="BI53" s="92">
        <v>1</v>
      </c>
      <c r="BJ53" s="92">
        <v>0.33440399714489649</v>
      </c>
      <c r="BK53" s="92">
        <v>0.33440399714489649</v>
      </c>
      <c r="BL53" s="92">
        <v>1</v>
      </c>
      <c r="BM53" s="92">
        <v>0.33440399714489649</v>
      </c>
      <c r="BN53" s="92">
        <v>0.33440399714489649</v>
      </c>
      <c r="BO53" s="92">
        <v>1</v>
      </c>
      <c r="BP53" s="92">
        <v>0.33440399714489649</v>
      </c>
      <c r="BQ53" s="92">
        <v>0.33440399714489649</v>
      </c>
      <c r="BR53" s="92">
        <v>1</v>
      </c>
      <c r="BS53" s="92">
        <v>0.33440399714489649</v>
      </c>
      <c r="BT53" s="92">
        <v>0.33440399714489649</v>
      </c>
      <c r="BU53" s="92">
        <v>1</v>
      </c>
      <c r="BV53" s="92">
        <v>0.33440399714489649</v>
      </c>
      <c r="BW53" s="92">
        <v>0.33440399714489649</v>
      </c>
      <c r="BX53" s="92">
        <v>1</v>
      </c>
      <c r="BY53" s="92">
        <v>0.33440399714489649</v>
      </c>
      <c r="BZ53" s="92">
        <v>0.33440399714489649</v>
      </c>
      <c r="CA53" s="92">
        <v>1</v>
      </c>
      <c r="CB53" s="92">
        <v>0.33440399714489649</v>
      </c>
      <c r="CC53" s="92">
        <v>0.33440399714489649</v>
      </c>
      <c r="CD53" s="92">
        <v>1</v>
      </c>
      <c r="CE53" s="92">
        <v>0.33440399714489649</v>
      </c>
      <c r="CF53" s="92">
        <v>0.33440399714489649</v>
      </c>
      <c r="CG53" s="92">
        <v>1</v>
      </c>
      <c r="CH53" s="92">
        <v>0.33440399714489649</v>
      </c>
      <c r="CI53" s="92">
        <v>0.33440399714489649</v>
      </c>
      <c r="CJ53" s="92">
        <v>1</v>
      </c>
      <c r="CK53" s="92">
        <v>0.33440399714489649</v>
      </c>
      <c r="CL53" s="92">
        <v>0.33440399714489649</v>
      </c>
      <c r="CM53" s="92">
        <v>1</v>
      </c>
      <c r="CN53" s="92">
        <v>0.33440399714489649</v>
      </c>
      <c r="CO53" s="92">
        <v>0.33440399714489649</v>
      </c>
      <c r="CP53" s="92">
        <v>1</v>
      </c>
      <c r="CQ53" s="92">
        <v>0.33440399714489649</v>
      </c>
      <c r="CR53" s="92">
        <v>0.33440399714489649</v>
      </c>
    </row>
    <row r="54" spans="1:96" x14ac:dyDescent="0.3">
      <c r="A54" s="3" t="str">
        <f>INDEX(Mapping!$Y:$Y,MATCH($C54,Mapping!$W:$W,0))</f>
        <v>Rural</v>
      </c>
      <c r="B54" s="3" t="str">
        <f>INDEX(Mapping!$V:$V,MATCH(C54,Mapping!$W:$W,0))</f>
        <v>NEV</v>
      </c>
      <c r="C54" t="s">
        <v>112</v>
      </c>
      <c r="D54">
        <v>4</v>
      </c>
      <c r="E54" s="20"/>
      <c r="F54" s="76">
        <v>118.21033210332102</v>
      </c>
      <c r="G54" s="76">
        <v>114.87822878228782</v>
      </c>
      <c r="H54" s="76">
        <v>115.51291512915128</v>
      </c>
      <c r="I54" s="76">
        <v>137.00369003690037</v>
      </c>
      <c r="J54" s="76">
        <v>126.25830258302584</v>
      </c>
      <c r="K54" s="76">
        <v>107.45387453874538</v>
      </c>
      <c r="L54" s="76">
        <v>110.14022140221402</v>
      </c>
      <c r="M54" s="76">
        <v>112.23210933614337</v>
      </c>
      <c r="N54" s="76">
        <v>112.06982199253018</v>
      </c>
      <c r="O54" s="76">
        <v>111.99605709843387</v>
      </c>
      <c r="P54" s="76">
        <v>111.9972977264882</v>
      </c>
      <c r="Q54" s="76">
        <v>112.0579075199731</v>
      </c>
      <c r="R54" s="76">
        <v>112.15963599777498</v>
      </c>
      <c r="S54" s="76">
        <v>112.28530726344029</v>
      </c>
      <c r="T54" s="76">
        <v>112.42393206267985</v>
      </c>
      <c r="U54" s="76">
        <v>112.57660081522741</v>
      </c>
      <c r="V54" s="76">
        <v>112.73187875026142</v>
      </c>
      <c r="AX54" s="3" t="s">
        <v>221</v>
      </c>
      <c r="AY54" t="s">
        <v>140</v>
      </c>
      <c r="AZ54" s="92">
        <v>0.99999999999999978</v>
      </c>
      <c r="BA54" s="92">
        <v>0.8801775147928993</v>
      </c>
      <c r="BB54" s="92">
        <v>0</v>
      </c>
      <c r="BC54" s="92">
        <v>0.99999999999999978</v>
      </c>
      <c r="BD54" s="92">
        <v>1.3090894148586454</v>
      </c>
      <c r="BE54" s="92">
        <v>0.65454470742932269</v>
      </c>
      <c r="BF54" s="92">
        <v>0.99999999999999978</v>
      </c>
      <c r="BG54" s="92">
        <v>1.3090894148586454</v>
      </c>
      <c r="BH54" s="92">
        <v>1.3090894148586454</v>
      </c>
      <c r="BI54" s="92">
        <v>0.99999999999999978</v>
      </c>
      <c r="BJ54" s="92">
        <v>1.3090894148586454</v>
      </c>
      <c r="BK54" s="92">
        <v>1.3090894148586454</v>
      </c>
      <c r="BL54" s="92">
        <v>0.99999999999999978</v>
      </c>
      <c r="BM54" s="92">
        <v>1.3090894148586454</v>
      </c>
      <c r="BN54" s="92">
        <v>1.3090894148586454</v>
      </c>
      <c r="BO54" s="92">
        <v>0.99999999999999978</v>
      </c>
      <c r="BP54" s="92">
        <v>1.3090894148586454</v>
      </c>
      <c r="BQ54" s="92">
        <v>1.3090894148586454</v>
      </c>
      <c r="BR54" s="92">
        <v>0.99999999999999978</v>
      </c>
      <c r="BS54" s="92">
        <v>1.3090894148586454</v>
      </c>
      <c r="BT54" s="92">
        <v>1.3090894148586454</v>
      </c>
      <c r="BU54" s="92">
        <v>0.99999999999999978</v>
      </c>
      <c r="BV54" s="92">
        <v>1.3090894148586454</v>
      </c>
      <c r="BW54" s="92">
        <v>1.3090894148586454</v>
      </c>
      <c r="BX54" s="92">
        <v>0.99999999999999978</v>
      </c>
      <c r="BY54" s="92">
        <v>1.3090894148586454</v>
      </c>
      <c r="BZ54" s="92">
        <v>1.3090894148586454</v>
      </c>
      <c r="CA54" s="92">
        <v>0.99999999999999978</v>
      </c>
      <c r="CB54" s="92">
        <v>1.3090894148586454</v>
      </c>
      <c r="CC54" s="92">
        <v>1.3090894148586454</v>
      </c>
      <c r="CD54" s="92">
        <v>0.99999999999999978</v>
      </c>
      <c r="CE54" s="92">
        <v>1.3090894148586454</v>
      </c>
      <c r="CF54" s="92">
        <v>1.3090894148586454</v>
      </c>
      <c r="CG54" s="92">
        <v>0.99999999999999978</v>
      </c>
      <c r="CH54" s="92">
        <v>1.3090894148586454</v>
      </c>
      <c r="CI54" s="92">
        <v>1.3090894148586454</v>
      </c>
      <c r="CJ54" s="92">
        <v>0.99999999999999978</v>
      </c>
      <c r="CK54" s="92">
        <v>1.3090894148586454</v>
      </c>
      <c r="CL54" s="92">
        <v>1.3090894148586454</v>
      </c>
      <c r="CM54" s="92">
        <v>0.99999999999999978</v>
      </c>
      <c r="CN54" s="92">
        <v>1.3090894148586454</v>
      </c>
      <c r="CO54" s="92">
        <v>1.3090894148586454</v>
      </c>
      <c r="CP54" s="92">
        <v>0.99999999999999978</v>
      </c>
      <c r="CQ54" s="92">
        <v>1.3090894148586454</v>
      </c>
      <c r="CR54" s="92">
        <v>1.3090894148586454</v>
      </c>
    </row>
    <row r="55" spans="1:96" x14ac:dyDescent="0.3">
      <c r="A55" s="3" t="str">
        <f>INDEX(Mapping!$Y:$Y,MATCH($C55,Mapping!$W:$W,0))</f>
        <v>Rural</v>
      </c>
      <c r="B55" s="3" t="str">
        <f>INDEX(Mapping!$V:$V,MATCH(C55,Mapping!$W:$W,0))</f>
        <v>NEV</v>
      </c>
      <c r="C55" t="s">
        <v>112</v>
      </c>
      <c r="D55">
        <v>5</v>
      </c>
      <c r="E55" s="20"/>
      <c r="F55" s="76">
        <v>138.50184501845018</v>
      </c>
      <c r="G55" s="76">
        <v>137.41697416974171</v>
      </c>
      <c r="H55" s="76">
        <v>133.07749077490774</v>
      </c>
      <c r="I55" s="76">
        <v>115.51291512915128</v>
      </c>
      <c r="J55" s="76">
        <v>137.00369003690037</v>
      </c>
      <c r="K55" s="76">
        <v>126.25830258302584</v>
      </c>
      <c r="L55" s="76">
        <v>107.45387453874538</v>
      </c>
      <c r="M55" s="76">
        <v>110.14022140221402</v>
      </c>
      <c r="N55" s="76">
        <v>112.23210933614337</v>
      </c>
      <c r="O55" s="76">
        <v>112.06982199253018</v>
      </c>
      <c r="P55" s="76">
        <v>111.99605709843387</v>
      </c>
      <c r="Q55" s="76">
        <v>111.9972977264882</v>
      </c>
      <c r="R55" s="76">
        <v>112.0579075199731</v>
      </c>
      <c r="S55" s="76">
        <v>112.15963599777498</v>
      </c>
      <c r="T55" s="76">
        <v>112.28530726344029</v>
      </c>
      <c r="U55" s="76">
        <v>112.42393206267985</v>
      </c>
      <c r="V55" s="76">
        <v>112.57660081522741</v>
      </c>
      <c r="AX55" s="3" t="s">
        <v>222</v>
      </c>
      <c r="AY55" t="s">
        <v>120</v>
      </c>
      <c r="AZ55" s="92">
        <v>1</v>
      </c>
      <c r="BA55" s="92">
        <v>0.93917710196779969</v>
      </c>
      <c r="BB55" s="92">
        <v>0</v>
      </c>
      <c r="BC55" s="92">
        <v>1</v>
      </c>
      <c r="BD55" s="92">
        <v>1.3968395945140133</v>
      </c>
      <c r="BE55" s="92">
        <v>0.69841979725700665</v>
      </c>
      <c r="BF55" s="92">
        <v>1</v>
      </c>
      <c r="BG55" s="92">
        <v>1.3968395945140133</v>
      </c>
      <c r="BH55" s="92">
        <v>1.3968395945140133</v>
      </c>
      <c r="BI55" s="92">
        <v>1</v>
      </c>
      <c r="BJ55" s="92">
        <v>1.3968395945140133</v>
      </c>
      <c r="BK55" s="92">
        <v>1.3968395945140133</v>
      </c>
      <c r="BL55" s="92">
        <v>1</v>
      </c>
      <c r="BM55" s="92">
        <v>1.3968395945140133</v>
      </c>
      <c r="BN55" s="92">
        <v>1.3968395945140133</v>
      </c>
      <c r="BO55" s="92">
        <v>1</v>
      </c>
      <c r="BP55" s="92">
        <v>1.3968395945140133</v>
      </c>
      <c r="BQ55" s="92">
        <v>1.3968395945140133</v>
      </c>
      <c r="BR55" s="92">
        <v>1</v>
      </c>
      <c r="BS55" s="92">
        <v>1.3968395945140133</v>
      </c>
      <c r="BT55" s="92">
        <v>1.3968395945140133</v>
      </c>
      <c r="BU55" s="92">
        <v>1</v>
      </c>
      <c r="BV55" s="92">
        <v>1.3968395945140133</v>
      </c>
      <c r="BW55" s="92">
        <v>1.3968395945140133</v>
      </c>
      <c r="BX55" s="92">
        <v>1</v>
      </c>
      <c r="BY55" s="92">
        <v>1.3968395945140133</v>
      </c>
      <c r="BZ55" s="92">
        <v>1.3968395945140133</v>
      </c>
      <c r="CA55" s="92">
        <v>1</v>
      </c>
      <c r="CB55" s="92">
        <v>1.3968395945140133</v>
      </c>
      <c r="CC55" s="92">
        <v>1.3968395945140133</v>
      </c>
      <c r="CD55" s="92">
        <v>1</v>
      </c>
      <c r="CE55" s="92">
        <v>1.3968395945140133</v>
      </c>
      <c r="CF55" s="92">
        <v>1.3968395945140133</v>
      </c>
      <c r="CG55" s="92">
        <v>1</v>
      </c>
      <c r="CH55" s="92">
        <v>1.3968395945140133</v>
      </c>
      <c r="CI55" s="92">
        <v>1.3968395945140133</v>
      </c>
      <c r="CJ55" s="92">
        <v>1</v>
      </c>
      <c r="CK55" s="92">
        <v>1.3968395945140133</v>
      </c>
      <c r="CL55" s="92">
        <v>1.3968395945140133</v>
      </c>
      <c r="CM55" s="92">
        <v>1</v>
      </c>
      <c r="CN55" s="92">
        <v>1.3968395945140133</v>
      </c>
      <c r="CO55" s="92">
        <v>1.3968395945140133</v>
      </c>
      <c r="CP55" s="92">
        <v>1</v>
      </c>
      <c r="CQ55" s="92">
        <v>1.3968395945140133</v>
      </c>
      <c r="CR55" s="92">
        <v>1.3968395945140133</v>
      </c>
    </row>
    <row r="56" spans="1:96" x14ac:dyDescent="0.3">
      <c r="A56" s="3" t="str">
        <f>INDEX(Mapping!$Y:$Y,MATCH($C56,Mapping!$W:$W,0))</f>
        <v>Metro</v>
      </c>
      <c r="B56" s="3" t="str">
        <f>INDEX(Mapping!$V:$V,MATCH(C56,Mapping!$W:$W,0))</f>
        <v>NEV</v>
      </c>
      <c r="C56" t="s">
        <v>113</v>
      </c>
      <c r="D56">
        <v>0</v>
      </c>
      <c r="E56" s="20"/>
      <c r="F56" s="76">
        <v>1244.6130852842809</v>
      </c>
      <c r="G56" s="76">
        <v>1237.0020903010034</v>
      </c>
      <c r="H56" s="76">
        <v>1201.1011705685619</v>
      </c>
      <c r="I56" s="76">
        <v>1483.1152197793131</v>
      </c>
      <c r="J56" s="76">
        <v>1496.7158850375354</v>
      </c>
      <c r="K56" s="76">
        <v>1510.3684686778497</v>
      </c>
      <c r="L56" s="76">
        <v>1523.2782923422565</v>
      </c>
      <c r="M56" s="76">
        <v>1535.4766215679549</v>
      </c>
      <c r="N56" s="76">
        <v>1546.4863830692591</v>
      </c>
      <c r="O56" s="76">
        <v>1557.0805991469838</v>
      </c>
      <c r="P56" s="76">
        <v>1567.2293601143911</v>
      </c>
      <c r="Q56" s="76">
        <v>1577.4659240210844</v>
      </c>
      <c r="R56" s="76">
        <v>1588.1812935221697</v>
      </c>
      <c r="S56" s="76">
        <v>1599.1087439530002</v>
      </c>
      <c r="T56" s="76">
        <v>1610.0792158113616</v>
      </c>
      <c r="U56" s="76">
        <v>1621.2775308093815</v>
      </c>
      <c r="V56" s="76">
        <v>1632.8656174965395</v>
      </c>
      <c r="AX56" s="3" t="s">
        <v>221</v>
      </c>
      <c r="AY56" t="s">
        <v>121</v>
      </c>
      <c r="AZ56" s="92">
        <v>1</v>
      </c>
      <c r="BA56" s="92">
        <v>1.5966010733452594</v>
      </c>
      <c r="BB56" s="92">
        <v>0</v>
      </c>
      <c r="BC56" s="92">
        <v>1</v>
      </c>
      <c r="BD56" s="92">
        <v>2.374627310673822</v>
      </c>
      <c r="BE56" s="92">
        <v>1.187313655336911</v>
      </c>
      <c r="BF56" s="92">
        <v>1</v>
      </c>
      <c r="BG56" s="92">
        <v>2.374627310673822</v>
      </c>
      <c r="BH56" s="92">
        <v>2.374627310673822</v>
      </c>
      <c r="BI56" s="92">
        <v>1</v>
      </c>
      <c r="BJ56" s="92">
        <v>2.374627310673822</v>
      </c>
      <c r="BK56" s="92">
        <v>2.374627310673822</v>
      </c>
      <c r="BL56" s="92">
        <v>1</v>
      </c>
      <c r="BM56" s="92">
        <v>2.374627310673822</v>
      </c>
      <c r="BN56" s="92">
        <v>2.374627310673822</v>
      </c>
      <c r="BO56" s="92">
        <v>1</v>
      </c>
      <c r="BP56" s="92">
        <v>2.374627310673822</v>
      </c>
      <c r="BQ56" s="92">
        <v>2.374627310673822</v>
      </c>
      <c r="BR56" s="92">
        <v>1</v>
      </c>
      <c r="BS56" s="92">
        <v>2.374627310673822</v>
      </c>
      <c r="BT56" s="92">
        <v>2.374627310673822</v>
      </c>
      <c r="BU56" s="92">
        <v>1</v>
      </c>
      <c r="BV56" s="92">
        <v>2.374627310673822</v>
      </c>
      <c r="BW56" s="92">
        <v>2.374627310673822</v>
      </c>
      <c r="BX56" s="92">
        <v>1</v>
      </c>
      <c r="BY56" s="92">
        <v>2.374627310673822</v>
      </c>
      <c r="BZ56" s="92">
        <v>2.374627310673822</v>
      </c>
      <c r="CA56" s="92">
        <v>1</v>
      </c>
      <c r="CB56" s="92">
        <v>2.374627310673822</v>
      </c>
      <c r="CC56" s="92">
        <v>2.374627310673822</v>
      </c>
      <c r="CD56" s="92">
        <v>1</v>
      </c>
      <c r="CE56" s="92">
        <v>2.374627310673822</v>
      </c>
      <c r="CF56" s="92">
        <v>2.374627310673822</v>
      </c>
      <c r="CG56" s="92">
        <v>1</v>
      </c>
      <c r="CH56" s="92">
        <v>2.374627310673822</v>
      </c>
      <c r="CI56" s="92">
        <v>2.374627310673822</v>
      </c>
      <c r="CJ56" s="92">
        <v>1</v>
      </c>
      <c r="CK56" s="92">
        <v>2.374627310673822</v>
      </c>
      <c r="CL56" s="92">
        <v>2.374627310673822</v>
      </c>
      <c r="CM56" s="92">
        <v>1</v>
      </c>
      <c r="CN56" s="92">
        <v>2.374627310673822</v>
      </c>
      <c r="CO56" s="92">
        <v>2.374627310673822</v>
      </c>
      <c r="CP56" s="92">
        <v>1</v>
      </c>
      <c r="CQ56" s="92">
        <v>2.374627310673822</v>
      </c>
      <c r="CR56" s="92">
        <v>2.374627310673822</v>
      </c>
    </row>
    <row r="57" spans="1:96" x14ac:dyDescent="0.3">
      <c r="A57" s="3" t="str">
        <f>INDEX(Mapping!$Y:$Y,MATCH($C57,Mapping!$W:$W,0))</f>
        <v>Metro</v>
      </c>
      <c r="B57" s="3" t="str">
        <f>INDEX(Mapping!$V:$V,MATCH(C57,Mapping!$W:$W,0))</f>
        <v>NEV</v>
      </c>
      <c r="C57" t="s">
        <v>113</v>
      </c>
      <c r="D57">
        <v>1</v>
      </c>
      <c r="E57" s="20"/>
      <c r="F57" s="76">
        <v>1375.9587165551839</v>
      </c>
      <c r="G57" s="76">
        <v>1367.5445234113713</v>
      </c>
      <c r="H57" s="76">
        <v>1327.8549331103679</v>
      </c>
      <c r="I57" s="76">
        <v>1201.1011705685619</v>
      </c>
      <c r="J57" s="76">
        <v>1483.1152197793131</v>
      </c>
      <c r="K57" s="76">
        <v>1496.7158850375354</v>
      </c>
      <c r="L57" s="76">
        <v>1510.3684686778497</v>
      </c>
      <c r="M57" s="76">
        <v>1523.2782923422565</v>
      </c>
      <c r="N57" s="76">
        <v>1535.4766215679549</v>
      </c>
      <c r="O57" s="76">
        <v>1546.4863830692591</v>
      </c>
      <c r="P57" s="76">
        <v>1557.0805991469838</v>
      </c>
      <c r="Q57" s="76">
        <v>1567.2293601143911</v>
      </c>
      <c r="R57" s="76">
        <v>1577.4659240210844</v>
      </c>
      <c r="S57" s="76">
        <v>1588.1812935221697</v>
      </c>
      <c r="T57" s="76">
        <v>1599.1087439530002</v>
      </c>
      <c r="U57" s="76">
        <v>1610.0792158113616</v>
      </c>
      <c r="V57" s="76">
        <v>1621.2775308093815</v>
      </c>
      <c r="AX57" s="3" t="s">
        <v>221</v>
      </c>
      <c r="AY57" t="s">
        <v>122</v>
      </c>
      <c r="AZ57" s="92">
        <v>0.99999999999999978</v>
      </c>
      <c r="BA57" s="92">
        <v>0.33006656804733725</v>
      </c>
      <c r="BB57" s="92">
        <v>0</v>
      </c>
      <c r="BC57" s="92">
        <v>0.99999999999999978</v>
      </c>
      <c r="BD57" s="92">
        <v>0.49090853057199207</v>
      </c>
      <c r="BE57" s="92">
        <v>0.24545426528599604</v>
      </c>
      <c r="BF57" s="92">
        <v>0.99999999999999978</v>
      </c>
      <c r="BG57" s="92">
        <v>0.49090853057199207</v>
      </c>
      <c r="BH57" s="92">
        <v>0.49090853057199207</v>
      </c>
      <c r="BI57" s="92">
        <v>0.99999999999999978</v>
      </c>
      <c r="BJ57" s="92">
        <v>0.49090853057199207</v>
      </c>
      <c r="BK57" s="92">
        <v>0.49090853057199207</v>
      </c>
      <c r="BL57" s="92">
        <v>0.99999999999999978</v>
      </c>
      <c r="BM57" s="92">
        <v>0.49090853057199207</v>
      </c>
      <c r="BN57" s="92">
        <v>0.49090853057199207</v>
      </c>
      <c r="BO57" s="92">
        <v>0.99999999999999978</v>
      </c>
      <c r="BP57" s="92">
        <v>0.49090853057199207</v>
      </c>
      <c r="BQ57" s="92">
        <v>0.49090853057199207</v>
      </c>
      <c r="BR57" s="92">
        <v>0.99999999999999978</v>
      </c>
      <c r="BS57" s="92">
        <v>0.49090853057199207</v>
      </c>
      <c r="BT57" s="92">
        <v>0.49090853057199207</v>
      </c>
      <c r="BU57" s="92">
        <v>0.99999999999999978</v>
      </c>
      <c r="BV57" s="92">
        <v>0.49090853057199207</v>
      </c>
      <c r="BW57" s="92">
        <v>0.49090853057199207</v>
      </c>
      <c r="BX57" s="92">
        <v>0.99999999999999978</v>
      </c>
      <c r="BY57" s="92">
        <v>0.49090853057199207</v>
      </c>
      <c r="BZ57" s="92">
        <v>0.49090853057199207</v>
      </c>
      <c r="CA57" s="92">
        <v>0.99999999999999978</v>
      </c>
      <c r="CB57" s="92">
        <v>0.49090853057199207</v>
      </c>
      <c r="CC57" s="92">
        <v>0.49090853057199207</v>
      </c>
      <c r="CD57" s="92">
        <v>0.99999999999999978</v>
      </c>
      <c r="CE57" s="92">
        <v>0.49090853057199207</v>
      </c>
      <c r="CF57" s="92">
        <v>0.49090853057199207</v>
      </c>
      <c r="CG57" s="92">
        <v>0.99999999999999978</v>
      </c>
      <c r="CH57" s="92">
        <v>0.49090853057199207</v>
      </c>
      <c r="CI57" s="92">
        <v>0.49090853057199207</v>
      </c>
      <c r="CJ57" s="92">
        <v>0.99999999999999978</v>
      </c>
      <c r="CK57" s="92">
        <v>0.49090853057199207</v>
      </c>
      <c r="CL57" s="92">
        <v>0.49090853057199207</v>
      </c>
      <c r="CM57" s="92">
        <v>0.99999999999999978</v>
      </c>
      <c r="CN57" s="92">
        <v>0.49090853057199207</v>
      </c>
      <c r="CO57" s="92">
        <v>0.49090853057199207</v>
      </c>
      <c r="CP57" s="92">
        <v>0.99999999999999978</v>
      </c>
      <c r="CQ57" s="92">
        <v>0.49090853057199207</v>
      </c>
      <c r="CR57" s="92">
        <v>0.49090853057199207</v>
      </c>
    </row>
    <row r="58" spans="1:96" x14ac:dyDescent="0.3">
      <c r="A58" s="3" t="str">
        <f>INDEX(Mapping!$Y:$Y,MATCH($C58,Mapping!$W:$W,0))</f>
        <v>Metro</v>
      </c>
      <c r="B58" s="3" t="str">
        <f>INDEX(Mapping!$V:$V,MATCH(C58,Mapping!$W:$W,0))</f>
        <v>NEV</v>
      </c>
      <c r="C58" t="s">
        <v>113</v>
      </c>
      <c r="D58">
        <v>2</v>
      </c>
      <c r="E58" s="20"/>
      <c r="F58" s="76">
        <v>1350.5954222408027</v>
      </c>
      <c r="G58" s="76">
        <v>1342.3363294314381</v>
      </c>
      <c r="H58" s="76">
        <v>1303.3783444816054</v>
      </c>
      <c r="I58" s="76">
        <v>1327.8549331103679</v>
      </c>
      <c r="J58" s="76">
        <v>1201.1011705685619</v>
      </c>
      <c r="K58" s="76">
        <v>1483.1152197793131</v>
      </c>
      <c r="L58" s="76">
        <v>1496.7158850375354</v>
      </c>
      <c r="M58" s="76">
        <v>1510.3684686778497</v>
      </c>
      <c r="N58" s="76">
        <v>1523.2782923422565</v>
      </c>
      <c r="O58" s="76">
        <v>1535.4766215679549</v>
      </c>
      <c r="P58" s="76">
        <v>1546.4863830692591</v>
      </c>
      <c r="Q58" s="76">
        <v>1557.0805991469838</v>
      </c>
      <c r="R58" s="76">
        <v>1567.2293601143911</v>
      </c>
      <c r="S58" s="76">
        <v>1577.4659240210844</v>
      </c>
      <c r="T58" s="76">
        <v>1588.1812935221697</v>
      </c>
      <c r="U58" s="76">
        <v>1599.1087439530002</v>
      </c>
      <c r="V58" s="76">
        <v>1610.0792158113616</v>
      </c>
      <c r="AX58" s="3" t="s">
        <v>221</v>
      </c>
      <c r="AY58" t="s">
        <v>178</v>
      </c>
      <c r="AZ58" s="92">
        <v>1</v>
      </c>
      <c r="BA58" s="92">
        <v>0.42099056603773577</v>
      </c>
      <c r="BB58" s="92">
        <v>0</v>
      </c>
      <c r="BC58" s="92">
        <v>1</v>
      </c>
      <c r="BD58" s="92">
        <v>0.62613993710691818</v>
      </c>
      <c r="BE58" s="92">
        <v>0.31306996855345909</v>
      </c>
      <c r="BF58" s="92">
        <v>1</v>
      </c>
      <c r="BG58" s="92">
        <v>0.62613993710691818</v>
      </c>
      <c r="BH58" s="92">
        <v>0.62613993710691818</v>
      </c>
      <c r="BI58" s="92">
        <v>1</v>
      </c>
      <c r="BJ58" s="92">
        <v>0.62613993710691818</v>
      </c>
      <c r="BK58" s="92">
        <v>0.62613993710691818</v>
      </c>
      <c r="BL58" s="92">
        <v>1</v>
      </c>
      <c r="BM58" s="92">
        <v>0.62613993710691818</v>
      </c>
      <c r="BN58" s="92">
        <v>0.62613993710691818</v>
      </c>
      <c r="BO58" s="92">
        <v>1</v>
      </c>
      <c r="BP58" s="92">
        <v>0.62613993710691818</v>
      </c>
      <c r="BQ58" s="92">
        <v>0.62613993710691818</v>
      </c>
      <c r="BR58" s="92">
        <v>1</v>
      </c>
      <c r="BS58" s="92">
        <v>0.62613993710691818</v>
      </c>
      <c r="BT58" s="92">
        <v>0.62613993710691818</v>
      </c>
      <c r="BU58" s="92">
        <v>1</v>
      </c>
      <c r="BV58" s="92">
        <v>0.62613993710691818</v>
      </c>
      <c r="BW58" s="92">
        <v>0.62613993710691818</v>
      </c>
      <c r="BX58" s="92">
        <v>1</v>
      </c>
      <c r="BY58" s="92">
        <v>0.62613993710691818</v>
      </c>
      <c r="BZ58" s="92">
        <v>0.62613993710691818</v>
      </c>
      <c r="CA58" s="92">
        <v>1</v>
      </c>
      <c r="CB58" s="92">
        <v>0.62613993710691818</v>
      </c>
      <c r="CC58" s="92">
        <v>0.62613993710691818</v>
      </c>
      <c r="CD58" s="92">
        <v>1</v>
      </c>
      <c r="CE58" s="92">
        <v>0.62613993710691818</v>
      </c>
      <c r="CF58" s="92">
        <v>0.62613993710691818</v>
      </c>
      <c r="CG58" s="92">
        <v>1</v>
      </c>
      <c r="CH58" s="92">
        <v>0.62613993710691818</v>
      </c>
      <c r="CI58" s="92">
        <v>0.62613993710691818</v>
      </c>
      <c r="CJ58" s="92">
        <v>1</v>
      </c>
      <c r="CK58" s="92">
        <v>0.62613993710691818</v>
      </c>
      <c r="CL58" s="92">
        <v>0.62613993710691818</v>
      </c>
      <c r="CM58" s="92">
        <v>1</v>
      </c>
      <c r="CN58" s="92">
        <v>0.62613993710691818</v>
      </c>
      <c r="CO58" s="92">
        <v>0.62613993710691818</v>
      </c>
      <c r="CP58" s="92">
        <v>1</v>
      </c>
      <c r="CQ58" s="92">
        <v>0.62613993710691818</v>
      </c>
      <c r="CR58" s="92">
        <v>0.62613993710691818</v>
      </c>
    </row>
    <row r="59" spans="1:96" x14ac:dyDescent="0.3">
      <c r="A59" s="3" t="str">
        <f>INDEX(Mapping!$Y:$Y,MATCH($C59,Mapping!$W:$W,0))</f>
        <v>Metro</v>
      </c>
      <c r="B59" s="3" t="str">
        <f>INDEX(Mapping!$V:$V,MATCH(C59,Mapping!$W:$W,0))</f>
        <v>NEV</v>
      </c>
      <c r="C59" t="s">
        <v>113</v>
      </c>
      <c r="D59">
        <v>3</v>
      </c>
      <c r="E59" s="20"/>
      <c r="F59" s="76">
        <v>1519.0801630434783</v>
      </c>
      <c r="G59" s="76">
        <v>1509.7907608695652</v>
      </c>
      <c r="H59" s="76">
        <v>1465.9728260869565</v>
      </c>
      <c r="I59" s="76">
        <v>1303.3783444816054</v>
      </c>
      <c r="J59" s="76">
        <v>1327.8549331103679</v>
      </c>
      <c r="K59" s="76">
        <v>1201.1011705685619</v>
      </c>
      <c r="L59" s="76">
        <v>1483.1152197793131</v>
      </c>
      <c r="M59" s="76">
        <v>1496.7158850375354</v>
      </c>
      <c r="N59" s="76">
        <v>1510.3684686778497</v>
      </c>
      <c r="O59" s="76">
        <v>1523.2782923422565</v>
      </c>
      <c r="P59" s="76">
        <v>1535.4766215679549</v>
      </c>
      <c r="Q59" s="76">
        <v>1546.4863830692591</v>
      </c>
      <c r="R59" s="76">
        <v>1557.0805991469838</v>
      </c>
      <c r="S59" s="76">
        <v>1567.2293601143911</v>
      </c>
      <c r="T59" s="76">
        <v>1577.4659240210844</v>
      </c>
      <c r="U59" s="76">
        <v>1588.1812935221697</v>
      </c>
      <c r="V59" s="76">
        <v>1599.1087439530002</v>
      </c>
      <c r="AX59" s="3" t="s">
        <v>221</v>
      </c>
      <c r="AY59" t="s">
        <v>179</v>
      </c>
      <c r="AZ59" s="92">
        <v>1</v>
      </c>
      <c r="BA59" s="92">
        <v>1.600896860986547</v>
      </c>
      <c r="BB59" s="92">
        <v>0</v>
      </c>
      <c r="BC59" s="92">
        <v>1</v>
      </c>
      <c r="BD59" s="92">
        <v>2.3810164424514197</v>
      </c>
      <c r="BE59" s="92">
        <v>1.1905082212257099</v>
      </c>
      <c r="BF59" s="92">
        <v>1</v>
      </c>
      <c r="BG59" s="92">
        <v>2.3810164424514197</v>
      </c>
      <c r="BH59" s="92">
        <v>2.3810164424514197</v>
      </c>
      <c r="BI59" s="92">
        <v>1</v>
      </c>
      <c r="BJ59" s="92">
        <v>2.3810164424514197</v>
      </c>
      <c r="BK59" s="92">
        <v>2.3810164424514197</v>
      </c>
      <c r="BL59" s="92">
        <v>1</v>
      </c>
      <c r="BM59" s="92">
        <v>2.3810164424514197</v>
      </c>
      <c r="BN59" s="92">
        <v>2.3810164424514197</v>
      </c>
      <c r="BO59" s="92">
        <v>1</v>
      </c>
      <c r="BP59" s="92">
        <v>2.3810164424514197</v>
      </c>
      <c r="BQ59" s="92">
        <v>2.3810164424514197</v>
      </c>
      <c r="BR59" s="92">
        <v>1</v>
      </c>
      <c r="BS59" s="92">
        <v>2.3810164424514197</v>
      </c>
      <c r="BT59" s="92">
        <v>2.3810164424514197</v>
      </c>
      <c r="BU59" s="92">
        <v>1</v>
      </c>
      <c r="BV59" s="92">
        <v>2.3810164424514197</v>
      </c>
      <c r="BW59" s="92">
        <v>2.3810164424514197</v>
      </c>
      <c r="BX59" s="92">
        <v>1</v>
      </c>
      <c r="BY59" s="92">
        <v>2.3810164424514197</v>
      </c>
      <c r="BZ59" s="92">
        <v>2.3810164424514197</v>
      </c>
      <c r="CA59" s="92">
        <v>1</v>
      </c>
      <c r="CB59" s="92">
        <v>2.3810164424514197</v>
      </c>
      <c r="CC59" s="92">
        <v>2.3810164424514197</v>
      </c>
      <c r="CD59" s="92">
        <v>1</v>
      </c>
      <c r="CE59" s="92">
        <v>2.3810164424514197</v>
      </c>
      <c r="CF59" s="92">
        <v>2.3810164424514197</v>
      </c>
      <c r="CG59" s="92">
        <v>1</v>
      </c>
      <c r="CH59" s="92">
        <v>2.3810164424514197</v>
      </c>
      <c r="CI59" s="92">
        <v>2.3810164424514197</v>
      </c>
      <c r="CJ59" s="92">
        <v>1</v>
      </c>
      <c r="CK59" s="92">
        <v>2.3810164424514197</v>
      </c>
      <c r="CL59" s="92">
        <v>2.3810164424514197</v>
      </c>
      <c r="CM59" s="92">
        <v>1</v>
      </c>
      <c r="CN59" s="92">
        <v>2.3810164424514197</v>
      </c>
      <c r="CO59" s="92">
        <v>2.3810164424514197</v>
      </c>
      <c r="CP59" s="92">
        <v>1</v>
      </c>
      <c r="CQ59" s="92">
        <v>2.3810164424514197</v>
      </c>
      <c r="CR59" s="92">
        <v>2.3810164424514197</v>
      </c>
    </row>
    <row r="60" spans="1:96" x14ac:dyDescent="0.3">
      <c r="A60" s="3" t="str">
        <f>INDEX(Mapping!$Y:$Y,MATCH($C60,Mapping!$W:$W,0))</f>
        <v>Metro</v>
      </c>
      <c r="B60" s="3" t="str">
        <f>INDEX(Mapping!$V:$V,MATCH(C60,Mapping!$W:$W,0))</f>
        <v>NEV</v>
      </c>
      <c r="C60" t="s">
        <v>113</v>
      </c>
      <c r="D60">
        <v>4</v>
      </c>
      <c r="E60" s="20"/>
      <c r="F60" s="76">
        <v>1522.7034908026756</v>
      </c>
      <c r="G60" s="76">
        <v>1513.3919314381271</v>
      </c>
      <c r="H60" s="76">
        <v>1469.4694816053511</v>
      </c>
      <c r="I60" s="76">
        <v>1465.9728260869565</v>
      </c>
      <c r="J60" s="76">
        <v>1303.3783444816054</v>
      </c>
      <c r="K60" s="76">
        <v>1327.8549331103679</v>
      </c>
      <c r="L60" s="76">
        <v>1201.1011705685619</v>
      </c>
      <c r="M60" s="76">
        <v>1483.1152197793131</v>
      </c>
      <c r="N60" s="76">
        <v>1496.7158850375354</v>
      </c>
      <c r="O60" s="76">
        <v>1510.3684686778497</v>
      </c>
      <c r="P60" s="76">
        <v>1523.2782923422565</v>
      </c>
      <c r="Q60" s="76">
        <v>1535.4766215679549</v>
      </c>
      <c r="R60" s="76">
        <v>1546.4863830692591</v>
      </c>
      <c r="S60" s="76">
        <v>1557.0805991469838</v>
      </c>
      <c r="T60" s="76">
        <v>1567.2293601143911</v>
      </c>
      <c r="U60" s="76">
        <v>1577.4659240210844</v>
      </c>
      <c r="V60" s="76">
        <v>1588.1812935221697</v>
      </c>
      <c r="AX60" s="3" t="s">
        <v>221</v>
      </c>
      <c r="AY60" t="s">
        <v>141</v>
      </c>
      <c r="AZ60" s="92">
        <v>1</v>
      </c>
      <c r="BA60" s="92">
        <v>0.24111846548696472</v>
      </c>
      <c r="BB60" s="92">
        <v>0</v>
      </c>
      <c r="BC60" s="92">
        <v>1</v>
      </c>
      <c r="BD60" s="92">
        <v>0.35861587644648568</v>
      </c>
      <c r="BE60" s="92">
        <v>0.17930793822324284</v>
      </c>
      <c r="BF60" s="92">
        <v>1</v>
      </c>
      <c r="BG60" s="92">
        <v>0.35861587644648568</v>
      </c>
      <c r="BH60" s="92">
        <v>0.35861587644648568</v>
      </c>
      <c r="BI60" s="92">
        <v>1</v>
      </c>
      <c r="BJ60" s="92">
        <v>0.35861587644648568</v>
      </c>
      <c r="BK60" s="92">
        <v>0.35861587644648568</v>
      </c>
      <c r="BL60" s="92">
        <v>1</v>
      </c>
      <c r="BM60" s="92">
        <v>0.35861587644648568</v>
      </c>
      <c r="BN60" s="92">
        <v>0.35861587644648568</v>
      </c>
      <c r="BO60" s="92">
        <v>1</v>
      </c>
      <c r="BP60" s="92">
        <v>0.35861587644648568</v>
      </c>
      <c r="BQ60" s="92">
        <v>0.35861587644648568</v>
      </c>
      <c r="BR60" s="92">
        <v>1</v>
      </c>
      <c r="BS60" s="92">
        <v>0.35861587644648568</v>
      </c>
      <c r="BT60" s="92">
        <v>0.35861587644648568</v>
      </c>
      <c r="BU60" s="92">
        <v>1</v>
      </c>
      <c r="BV60" s="92">
        <v>0.35861587644648568</v>
      </c>
      <c r="BW60" s="92">
        <v>0.35861587644648568</v>
      </c>
      <c r="BX60" s="92">
        <v>1</v>
      </c>
      <c r="BY60" s="92">
        <v>0.35861587644648568</v>
      </c>
      <c r="BZ60" s="92">
        <v>0.35861587644648568</v>
      </c>
      <c r="CA60" s="92">
        <v>1</v>
      </c>
      <c r="CB60" s="92">
        <v>0.35861587644648568</v>
      </c>
      <c r="CC60" s="92">
        <v>0.35861587644648568</v>
      </c>
      <c r="CD60" s="92">
        <v>1</v>
      </c>
      <c r="CE60" s="92">
        <v>0.35861587644648568</v>
      </c>
      <c r="CF60" s="92">
        <v>0.35861587644648568</v>
      </c>
      <c r="CG60" s="92">
        <v>1</v>
      </c>
      <c r="CH60" s="92">
        <v>0.35861587644648568</v>
      </c>
      <c r="CI60" s="92">
        <v>0.35861587644648568</v>
      </c>
      <c r="CJ60" s="92">
        <v>1</v>
      </c>
      <c r="CK60" s="92">
        <v>0.35861587644648568</v>
      </c>
      <c r="CL60" s="92">
        <v>0.35861587644648568</v>
      </c>
      <c r="CM60" s="92">
        <v>1</v>
      </c>
      <c r="CN60" s="92">
        <v>0.35861587644648568</v>
      </c>
      <c r="CO60" s="92">
        <v>0.35861587644648568</v>
      </c>
      <c r="CP60" s="92">
        <v>1</v>
      </c>
      <c r="CQ60" s="92">
        <v>0.35861587644648568</v>
      </c>
      <c r="CR60" s="92">
        <v>0.35861587644648568</v>
      </c>
    </row>
    <row r="61" spans="1:96" x14ac:dyDescent="0.3">
      <c r="A61" s="3" t="str">
        <f>INDEX(Mapping!$Y:$Y,MATCH($C61,Mapping!$W:$W,0))</f>
        <v>Metro</v>
      </c>
      <c r="B61" s="3" t="str">
        <f>INDEX(Mapping!$V:$V,MATCH(C61,Mapping!$W:$W,0))</f>
        <v>NEV</v>
      </c>
      <c r="C61" t="s">
        <v>113</v>
      </c>
      <c r="D61">
        <v>5</v>
      </c>
      <c r="E61" s="20"/>
      <c r="F61" s="76">
        <v>2003.6762123745818</v>
      </c>
      <c r="G61" s="76">
        <v>2040.127508361204</v>
      </c>
      <c r="H61" s="76">
        <v>2021.2339046822742</v>
      </c>
      <c r="I61" s="76">
        <v>1469.4694816053511</v>
      </c>
      <c r="J61" s="76">
        <v>1465.9728260869565</v>
      </c>
      <c r="K61" s="76">
        <v>1303.3783444816054</v>
      </c>
      <c r="L61" s="76">
        <v>1327.8549331103679</v>
      </c>
      <c r="M61" s="76">
        <v>1201.1011705685619</v>
      </c>
      <c r="N61" s="76">
        <v>1483.1152197793131</v>
      </c>
      <c r="O61" s="76">
        <v>1496.7158850375354</v>
      </c>
      <c r="P61" s="76">
        <v>1510.3684686778497</v>
      </c>
      <c r="Q61" s="76">
        <v>1523.2782923422565</v>
      </c>
      <c r="R61" s="76">
        <v>1535.4766215679549</v>
      </c>
      <c r="S61" s="76">
        <v>1546.4863830692591</v>
      </c>
      <c r="T61" s="76">
        <v>1557.0805991469838</v>
      </c>
      <c r="U61" s="76">
        <v>1567.2293601143911</v>
      </c>
      <c r="V61" s="76">
        <v>1577.4659240210844</v>
      </c>
      <c r="AX61" s="3" t="s">
        <v>222</v>
      </c>
      <c r="AY61" t="s">
        <v>158</v>
      </c>
      <c r="AZ61" s="92">
        <v>1</v>
      </c>
      <c r="BA61" s="92">
        <v>0.33560622203281482</v>
      </c>
      <c r="BB61" s="92">
        <v>0</v>
      </c>
      <c r="BC61" s="92">
        <v>1</v>
      </c>
      <c r="BD61" s="92">
        <v>0.4991476667376944</v>
      </c>
      <c r="BE61" s="92">
        <v>0.2495738333688472</v>
      </c>
      <c r="BF61" s="92">
        <v>1</v>
      </c>
      <c r="BG61" s="92">
        <v>0.4991476667376944</v>
      </c>
      <c r="BH61" s="92">
        <v>0.4991476667376944</v>
      </c>
      <c r="BI61" s="92">
        <v>1</v>
      </c>
      <c r="BJ61" s="92">
        <v>0.4991476667376944</v>
      </c>
      <c r="BK61" s="92">
        <v>0.4991476667376944</v>
      </c>
      <c r="BL61" s="92">
        <v>1</v>
      </c>
      <c r="BM61" s="92">
        <v>0.4991476667376944</v>
      </c>
      <c r="BN61" s="92">
        <v>0.4991476667376944</v>
      </c>
      <c r="BO61" s="92">
        <v>1</v>
      </c>
      <c r="BP61" s="92">
        <v>0.4991476667376944</v>
      </c>
      <c r="BQ61" s="92">
        <v>0.4991476667376944</v>
      </c>
      <c r="BR61" s="92">
        <v>1</v>
      </c>
      <c r="BS61" s="92">
        <v>0.4991476667376944</v>
      </c>
      <c r="BT61" s="92">
        <v>0.4991476667376944</v>
      </c>
      <c r="BU61" s="92">
        <v>1</v>
      </c>
      <c r="BV61" s="92">
        <v>0.4991476667376944</v>
      </c>
      <c r="BW61" s="92">
        <v>0.4991476667376944</v>
      </c>
      <c r="BX61" s="92">
        <v>1</v>
      </c>
      <c r="BY61" s="92">
        <v>0.4991476667376944</v>
      </c>
      <c r="BZ61" s="92">
        <v>0.4991476667376944</v>
      </c>
      <c r="CA61" s="92">
        <v>1</v>
      </c>
      <c r="CB61" s="92">
        <v>0.4991476667376944</v>
      </c>
      <c r="CC61" s="92">
        <v>0.4991476667376944</v>
      </c>
      <c r="CD61" s="92">
        <v>1</v>
      </c>
      <c r="CE61" s="92">
        <v>0.4991476667376944</v>
      </c>
      <c r="CF61" s="92">
        <v>0.4991476667376944</v>
      </c>
      <c r="CG61" s="92">
        <v>1</v>
      </c>
      <c r="CH61" s="92">
        <v>0.4991476667376944</v>
      </c>
      <c r="CI61" s="92">
        <v>0.4991476667376944</v>
      </c>
      <c r="CJ61" s="92">
        <v>1</v>
      </c>
      <c r="CK61" s="92">
        <v>0.4991476667376944</v>
      </c>
      <c r="CL61" s="92">
        <v>0.4991476667376944</v>
      </c>
      <c r="CM61" s="92">
        <v>1</v>
      </c>
      <c r="CN61" s="92">
        <v>0.4991476667376944</v>
      </c>
      <c r="CO61" s="92">
        <v>0.4991476667376944</v>
      </c>
      <c r="CP61" s="92">
        <v>1</v>
      </c>
      <c r="CQ61" s="92">
        <v>0.4991476667376944</v>
      </c>
      <c r="CR61" s="92">
        <v>0.4991476667376944</v>
      </c>
    </row>
    <row r="62" spans="1:96" x14ac:dyDescent="0.3">
      <c r="A62" s="3" t="str">
        <f>INDEX(Mapping!$Y:$Y,MATCH($C62,Mapping!$W:$W,0))</f>
        <v>Metro</v>
      </c>
      <c r="B62" s="3" t="str">
        <f>INDEX(Mapping!$V:$V,MATCH(C62,Mapping!$W:$W,0))</f>
        <v>SWV</v>
      </c>
      <c r="C62" t="s">
        <v>165</v>
      </c>
      <c r="D62">
        <v>0</v>
      </c>
      <c r="E62" s="20"/>
      <c r="F62" s="76">
        <v>2137.9967494474058</v>
      </c>
      <c r="G62" s="76">
        <v>2242.8663372773372</v>
      </c>
      <c r="H62" s="76">
        <v>2269.4034585879599</v>
      </c>
      <c r="I62" s="76">
        <v>2553.700343689507</v>
      </c>
      <c r="J62" s="76">
        <v>2577.6706606240873</v>
      </c>
      <c r="K62" s="76">
        <v>2599.9655067498657</v>
      </c>
      <c r="L62" s="76">
        <v>2620.8167106915557</v>
      </c>
      <c r="M62" s="76">
        <v>2640.5366008197188</v>
      </c>
      <c r="N62" s="76">
        <v>2659.7815461166788</v>
      </c>
      <c r="O62" s="76">
        <v>2679.1757840842788</v>
      </c>
      <c r="P62" s="76">
        <v>2697.6485736037553</v>
      </c>
      <c r="Q62" s="76">
        <v>2716.9230421291618</v>
      </c>
      <c r="R62" s="76">
        <v>2737.5557078371835</v>
      </c>
      <c r="S62" s="76">
        <v>2759.1007384939489</v>
      </c>
      <c r="T62" s="76">
        <v>2781.152218269779</v>
      </c>
      <c r="U62" s="76">
        <v>2803.7517559935873</v>
      </c>
      <c r="V62" s="76">
        <v>2827.3636644162657</v>
      </c>
      <c r="AX62" s="3" t="s">
        <v>221</v>
      </c>
      <c r="AY62" t="s">
        <v>142</v>
      </c>
      <c r="AZ62" s="92">
        <v>0.99999999999999978</v>
      </c>
      <c r="BA62" s="92">
        <v>4.2805755395683445</v>
      </c>
      <c r="BB62" s="92">
        <v>0</v>
      </c>
      <c r="BC62" s="92">
        <v>0.99999999999999978</v>
      </c>
      <c r="BD62" s="92">
        <v>6.366506794564347</v>
      </c>
      <c r="BE62" s="92">
        <v>3.1832533972821735</v>
      </c>
      <c r="BF62" s="92">
        <v>0.99999999999999978</v>
      </c>
      <c r="BG62" s="92">
        <v>6.366506794564347</v>
      </c>
      <c r="BH62" s="92">
        <v>6.366506794564347</v>
      </c>
      <c r="BI62" s="92">
        <v>0.99999999999999978</v>
      </c>
      <c r="BJ62" s="92">
        <v>6.366506794564347</v>
      </c>
      <c r="BK62" s="92">
        <v>6.366506794564347</v>
      </c>
      <c r="BL62" s="92">
        <v>0.99999999999999978</v>
      </c>
      <c r="BM62" s="92">
        <v>6.366506794564347</v>
      </c>
      <c r="BN62" s="92">
        <v>6.366506794564347</v>
      </c>
      <c r="BO62" s="92">
        <v>0.99999999999999978</v>
      </c>
      <c r="BP62" s="92">
        <v>6.366506794564347</v>
      </c>
      <c r="BQ62" s="92">
        <v>6.366506794564347</v>
      </c>
      <c r="BR62" s="92">
        <v>0.99999999999999978</v>
      </c>
      <c r="BS62" s="92">
        <v>6.366506794564347</v>
      </c>
      <c r="BT62" s="92">
        <v>6.366506794564347</v>
      </c>
      <c r="BU62" s="92">
        <v>0.99999999999999978</v>
      </c>
      <c r="BV62" s="92">
        <v>6.366506794564347</v>
      </c>
      <c r="BW62" s="92">
        <v>6.366506794564347</v>
      </c>
      <c r="BX62" s="92">
        <v>0.99999999999999978</v>
      </c>
      <c r="BY62" s="92">
        <v>6.366506794564347</v>
      </c>
      <c r="BZ62" s="92">
        <v>6.366506794564347</v>
      </c>
      <c r="CA62" s="92">
        <v>0.99999999999999978</v>
      </c>
      <c r="CB62" s="92">
        <v>6.366506794564347</v>
      </c>
      <c r="CC62" s="92">
        <v>6.366506794564347</v>
      </c>
      <c r="CD62" s="92">
        <v>0.99999999999999978</v>
      </c>
      <c r="CE62" s="92">
        <v>6.366506794564347</v>
      </c>
      <c r="CF62" s="92">
        <v>6.366506794564347</v>
      </c>
      <c r="CG62" s="92">
        <v>0.99999999999999978</v>
      </c>
      <c r="CH62" s="92">
        <v>6.366506794564347</v>
      </c>
      <c r="CI62" s="92">
        <v>6.366506794564347</v>
      </c>
      <c r="CJ62" s="92">
        <v>0.99999999999999978</v>
      </c>
      <c r="CK62" s="92">
        <v>6.366506794564347</v>
      </c>
      <c r="CL62" s="92">
        <v>6.366506794564347</v>
      </c>
      <c r="CM62" s="92">
        <v>0.99999999999999978</v>
      </c>
      <c r="CN62" s="92">
        <v>6.366506794564347</v>
      </c>
      <c r="CO62" s="92">
        <v>6.366506794564347</v>
      </c>
      <c r="CP62" s="92">
        <v>0.99999999999999978</v>
      </c>
      <c r="CQ62" s="92">
        <v>6.366506794564347</v>
      </c>
      <c r="CR62" s="92">
        <v>6.366506794564347</v>
      </c>
    </row>
    <row r="63" spans="1:96" x14ac:dyDescent="0.3">
      <c r="A63" s="3" t="str">
        <f>INDEX(Mapping!$Y:$Y,MATCH($C63,Mapping!$W:$W,0))</f>
        <v>Metro</v>
      </c>
      <c r="B63" s="3" t="str">
        <f>INDEX(Mapping!$V:$V,MATCH(C63,Mapping!$W:$W,0))</f>
        <v>SWV</v>
      </c>
      <c r="C63" t="s">
        <v>165</v>
      </c>
      <c r="D63">
        <v>1</v>
      </c>
      <c r="E63" s="20"/>
      <c r="F63" s="76">
        <v>2366.6641529059943</v>
      </c>
      <c r="G63" s="76">
        <v>2482.7499674944743</v>
      </c>
      <c r="H63" s="76">
        <v>2512.1253413080226</v>
      </c>
      <c r="I63" s="76">
        <v>2269.4034585879599</v>
      </c>
      <c r="J63" s="76">
        <v>2553.700343689507</v>
      </c>
      <c r="K63" s="76">
        <v>2577.6706606240873</v>
      </c>
      <c r="L63" s="76">
        <v>2599.9655067498657</v>
      </c>
      <c r="M63" s="76">
        <v>2620.8167106915557</v>
      </c>
      <c r="N63" s="76">
        <v>2640.5366008197188</v>
      </c>
      <c r="O63" s="76">
        <v>2659.7815461166788</v>
      </c>
      <c r="P63" s="76">
        <v>2679.1757840842788</v>
      </c>
      <c r="Q63" s="76">
        <v>2697.6485736037553</v>
      </c>
      <c r="R63" s="76">
        <v>2716.9230421291618</v>
      </c>
      <c r="S63" s="76">
        <v>2737.5557078371835</v>
      </c>
      <c r="T63" s="76">
        <v>2759.1007384939489</v>
      </c>
      <c r="U63" s="76">
        <v>2781.152218269779</v>
      </c>
      <c r="V63" s="76">
        <v>2803.7517559935873</v>
      </c>
      <c r="AX63" s="3" t="s">
        <v>221</v>
      </c>
      <c r="AY63" t="s">
        <v>180</v>
      </c>
      <c r="AZ63" s="92">
        <v>0.99999999999999978</v>
      </c>
      <c r="BA63" s="92">
        <v>3.8552915766738662</v>
      </c>
      <c r="BB63" s="92">
        <v>0</v>
      </c>
      <c r="BC63" s="92">
        <v>0.99999999999999978</v>
      </c>
      <c r="BD63" s="92">
        <v>5.7339812814974813</v>
      </c>
      <c r="BE63" s="92">
        <v>2.8669906407487407</v>
      </c>
      <c r="BF63" s="92">
        <v>0.99999999999999978</v>
      </c>
      <c r="BG63" s="92">
        <v>5.7339812814974813</v>
      </c>
      <c r="BH63" s="92">
        <v>5.7339812814974813</v>
      </c>
      <c r="BI63" s="92">
        <v>0.99999999999999978</v>
      </c>
      <c r="BJ63" s="92">
        <v>5.7339812814974813</v>
      </c>
      <c r="BK63" s="92">
        <v>5.7339812814974813</v>
      </c>
      <c r="BL63" s="92">
        <v>0.99999999999999978</v>
      </c>
      <c r="BM63" s="92">
        <v>5.7339812814974813</v>
      </c>
      <c r="BN63" s="92">
        <v>5.7339812814974813</v>
      </c>
      <c r="BO63" s="92">
        <v>0.99999999999999978</v>
      </c>
      <c r="BP63" s="92">
        <v>5.7339812814974813</v>
      </c>
      <c r="BQ63" s="92">
        <v>5.7339812814974813</v>
      </c>
      <c r="BR63" s="92">
        <v>0.99999999999999978</v>
      </c>
      <c r="BS63" s="92">
        <v>5.7339812814974813</v>
      </c>
      <c r="BT63" s="92">
        <v>5.7339812814974813</v>
      </c>
      <c r="BU63" s="92">
        <v>0.99999999999999978</v>
      </c>
      <c r="BV63" s="92">
        <v>5.7339812814974813</v>
      </c>
      <c r="BW63" s="92">
        <v>5.7339812814974813</v>
      </c>
      <c r="BX63" s="92">
        <v>0.99999999999999978</v>
      </c>
      <c r="BY63" s="92">
        <v>5.7339812814974813</v>
      </c>
      <c r="BZ63" s="92">
        <v>5.7339812814974813</v>
      </c>
      <c r="CA63" s="92">
        <v>0.99999999999999978</v>
      </c>
      <c r="CB63" s="92">
        <v>5.7339812814974813</v>
      </c>
      <c r="CC63" s="92">
        <v>5.7339812814974813</v>
      </c>
      <c r="CD63" s="92">
        <v>0.99999999999999978</v>
      </c>
      <c r="CE63" s="92">
        <v>5.7339812814974813</v>
      </c>
      <c r="CF63" s="92">
        <v>5.7339812814974813</v>
      </c>
      <c r="CG63" s="92">
        <v>0.99999999999999978</v>
      </c>
      <c r="CH63" s="92">
        <v>5.7339812814974813</v>
      </c>
      <c r="CI63" s="92">
        <v>5.7339812814974813</v>
      </c>
      <c r="CJ63" s="92">
        <v>0.99999999999999978</v>
      </c>
      <c r="CK63" s="92">
        <v>5.7339812814974813</v>
      </c>
      <c r="CL63" s="92">
        <v>5.7339812814974813</v>
      </c>
      <c r="CM63" s="92">
        <v>0.99999999999999978</v>
      </c>
      <c r="CN63" s="92">
        <v>5.7339812814974813</v>
      </c>
      <c r="CO63" s="92">
        <v>5.7339812814974813</v>
      </c>
      <c r="CP63" s="92">
        <v>0.99999999999999978</v>
      </c>
      <c r="CQ63" s="92">
        <v>5.7339812814974813</v>
      </c>
      <c r="CR63" s="92">
        <v>5.7339812814974813</v>
      </c>
    </row>
    <row r="64" spans="1:96" x14ac:dyDescent="0.3">
      <c r="A64" s="3" t="str">
        <f>INDEX(Mapping!$Y:$Y,MATCH($C64,Mapping!$W:$W,0))</f>
        <v>Metro</v>
      </c>
      <c r="B64" s="3" t="str">
        <f>INDEX(Mapping!$V:$V,MATCH(C64,Mapping!$W:$W,0))</f>
        <v>SWV</v>
      </c>
      <c r="C64" t="s">
        <v>165</v>
      </c>
      <c r="D64">
        <v>2</v>
      </c>
      <c r="E64" s="20"/>
      <c r="F64" s="76">
        <v>2258.8513847354052</v>
      </c>
      <c r="G64" s="76">
        <v>2369.6489403198543</v>
      </c>
      <c r="H64" s="76">
        <v>2397.686126641529</v>
      </c>
      <c r="I64" s="76">
        <v>2512.1253413080226</v>
      </c>
      <c r="J64" s="76">
        <v>2269.4034585879599</v>
      </c>
      <c r="K64" s="76">
        <v>2553.700343689507</v>
      </c>
      <c r="L64" s="76">
        <v>2577.6706606240873</v>
      </c>
      <c r="M64" s="76">
        <v>2599.9655067498657</v>
      </c>
      <c r="N64" s="76">
        <v>2620.8167106915557</v>
      </c>
      <c r="O64" s="76">
        <v>2640.5366008197188</v>
      </c>
      <c r="P64" s="76">
        <v>2659.7815461166788</v>
      </c>
      <c r="Q64" s="76">
        <v>2679.1757840842788</v>
      </c>
      <c r="R64" s="76">
        <v>2697.6485736037553</v>
      </c>
      <c r="S64" s="76">
        <v>2716.9230421291618</v>
      </c>
      <c r="T64" s="76">
        <v>2737.5557078371835</v>
      </c>
      <c r="U64" s="76">
        <v>2759.1007384939489</v>
      </c>
      <c r="V64" s="76">
        <v>2781.152218269779</v>
      </c>
      <c r="AX64" s="3" t="s">
        <v>221</v>
      </c>
      <c r="AY64" t="s">
        <v>123</v>
      </c>
      <c r="AZ64" s="92">
        <v>1</v>
      </c>
      <c r="BA64" s="92">
        <v>4.9173553719008254</v>
      </c>
      <c r="BB64" s="92">
        <v>0</v>
      </c>
      <c r="BC64" s="92">
        <v>1</v>
      </c>
      <c r="BD64" s="92">
        <v>7.3135904499540851</v>
      </c>
      <c r="BE64" s="92">
        <v>3.6567952249770426</v>
      </c>
      <c r="BF64" s="92">
        <v>1</v>
      </c>
      <c r="BG64" s="92">
        <v>7.3135904499540851</v>
      </c>
      <c r="BH64" s="92">
        <v>7.3135904499540851</v>
      </c>
      <c r="BI64" s="92">
        <v>1</v>
      </c>
      <c r="BJ64" s="92">
        <v>7.3135904499540851</v>
      </c>
      <c r="BK64" s="92">
        <v>7.3135904499540851</v>
      </c>
      <c r="BL64" s="92">
        <v>1</v>
      </c>
      <c r="BM64" s="92">
        <v>7.3135904499540851</v>
      </c>
      <c r="BN64" s="92">
        <v>7.3135904499540851</v>
      </c>
      <c r="BO64" s="92">
        <v>1</v>
      </c>
      <c r="BP64" s="92">
        <v>7.3135904499540851</v>
      </c>
      <c r="BQ64" s="92">
        <v>7.3135904499540851</v>
      </c>
      <c r="BR64" s="92">
        <v>1</v>
      </c>
      <c r="BS64" s="92">
        <v>7.3135904499540851</v>
      </c>
      <c r="BT64" s="92">
        <v>7.3135904499540851</v>
      </c>
      <c r="BU64" s="92">
        <v>1</v>
      </c>
      <c r="BV64" s="92">
        <v>7.3135904499540851</v>
      </c>
      <c r="BW64" s="92">
        <v>7.3135904499540851</v>
      </c>
      <c r="BX64" s="92">
        <v>1</v>
      </c>
      <c r="BY64" s="92">
        <v>7.3135904499540851</v>
      </c>
      <c r="BZ64" s="92">
        <v>7.3135904499540851</v>
      </c>
      <c r="CA64" s="92">
        <v>1</v>
      </c>
      <c r="CB64" s="92">
        <v>7.3135904499540851</v>
      </c>
      <c r="CC64" s="92">
        <v>7.3135904499540851</v>
      </c>
      <c r="CD64" s="92">
        <v>1</v>
      </c>
      <c r="CE64" s="92">
        <v>7.3135904499540851</v>
      </c>
      <c r="CF64" s="92">
        <v>7.3135904499540851</v>
      </c>
      <c r="CG64" s="92">
        <v>1</v>
      </c>
      <c r="CH64" s="92">
        <v>7.3135904499540851</v>
      </c>
      <c r="CI64" s="92">
        <v>7.3135904499540851</v>
      </c>
      <c r="CJ64" s="92">
        <v>1</v>
      </c>
      <c r="CK64" s="92">
        <v>7.3135904499540851</v>
      </c>
      <c r="CL64" s="92">
        <v>7.3135904499540851</v>
      </c>
      <c r="CM64" s="92">
        <v>1</v>
      </c>
      <c r="CN64" s="92">
        <v>7.3135904499540851</v>
      </c>
      <c r="CO64" s="92">
        <v>7.3135904499540851</v>
      </c>
      <c r="CP64" s="92">
        <v>1</v>
      </c>
      <c r="CQ64" s="92">
        <v>7.3135904499540851</v>
      </c>
      <c r="CR64" s="92">
        <v>7.3135904499540851</v>
      </c>
    </row>
    <row r="65" spans="1:96" x14ac:dyDescent="0.3">
      <c r="A65" s="3" t="str">
        <f>INDEX(Mapping!$Y:$Y,MATCH($C65,Mapping!$W:$W,0))</f>
        <v>Metro</v>
      </c>
      <c r="B65" s="3" t="str">
        <f>INDEX(Mapping!$V:$V,MATCH(C65,Mapping!$W:$W,0))</f>
        <v>SWV</v>
      </c>
      <c r="C65" t="s">
        <v>165</v>
      </c>
      <c r="D65">
        <v>3</v>
      </c>
      <c r="E65" s="20"/>
      <c r="F65" s="76">
        <v>2284.0656611623976</v>
      </c>
      <c r="G65" s="76">
        <v>2396.0999869977895</v>
      </c>
      <c r="H65" s="76">
        <v>2424.450136523209</v>
      </c>
      <c r="I65" s="76">
        <v>2397.686126641529</v>
      </c>
      <c r="J65" s="76">
        <v>2512.1253413080226</v>
      </c>
      <c r="K65" s="76">
        <v>2269.4034585879599</v>
      </c>
      <c r="L65" s="76">
        <v>2553.700343689507</v>
      </c>
      <c r="M65" s="76">
        <v>2577.6706606240873</v>
      </c>
      <c r="N65" s="76">
        <v>2599.9655067498657</v>
      </c>
      <c r="O65" s="76">
        <v>2620.8167106915557</v>
      </c>
      <c r="P65" s="76">
        <v>2640.5366008197188</v>
      </c>
      <c r="Q65" s="76">
        <v>2659.7815461166788</v>
      </c>
      <c r="R65" s="76">
        <v>2679.1757840842788</v>
      </c>
      <c r="S65" s="76">
        <v>2697.6485736037553</v>
      </c>
      <c r="T65" s="76">
        <v>2716.9230421291618</v>
      </c>
      <c r="U65" s="76">
        <v>2737.5557078371835</v>
      </c>
      <c r="V65" s="76">
        <v>2759.1007384939489</v>
      </c>
      <c r="AX65" s="3" t="s">
        <v>222</v>
      </c>
      <c r="AY65" t="s">
        <v>143</v>
      </c>
      <c r="AZ65" s="92">
        <v>1</v>
      </c>
      <c r="BA65" s="92">
        <v>0.85365853658536595</v>
      </c>
      <c r="BB65" s="92">
        <v>0</v>
      </c>
      <c r="BC65" s="92">
        <v>1</v>
      </c>
      <c r="BD65" s="92">
        <v>1.269647696476965</v>
      </c>
      <c r="BE65" s="92">
        <v>0.63482384823848248</v>
      </c>
      <c r="BF65" s="92">
        <v>1</v>
      </c>
      <c r="BG65" s="92">
        <v>1.269647696476965</v>
      </c>
      <c r="BH65" s="92">
        <v>1.269647696476965</v>
      </c>
      <c r="BI65" s="92">
        <v>1</v>
      </c>
      <c r="BJ65" s="92">
        <v>1.269647696476965</v>
      </c>
      <c r="BK65" s="92">
        <v>1.269647696476965</v>
      </c>
      <c r="BL65" s="92">
        <v>1</v>
      </c>
      <c r="BM65" s="92">
        <v>1.269647696476965</v>
      </c>
      <c r="BN65" s="92">
        <v>1.269647696476965</v>
      </c>
      <c r="BO65" s="92">
        <v>1</v>
      </c>
      <c r="BP65" s="92">
        <v>1.269647696476965</v>
      </c>
      <c r="BQ65" s="92">
        <v>1.269647696476965</v>
      </c>
      <c r="BR65" s="92">
        <v>1</v>
      </c>
      <c r="BS65" s="92">
        <v>1.269647696476965</v>
      </c>
      <c r="BT65" s="92">
        <v>1.269647696476965</v>
      </c>
      <c r="BU65" s="92">
        <v>1</v>
      </c>
      <c r="BV65" s="92">
        <v>1.269647696476965</v>
      </c>
      <c r="BW65" s="92">
        <v>1.269647696476965</v>
      </c>
      <c r="BX65" s="92">
        <v>1</v>
      </c>
      <c r="BY65" s="92">
        <v>1.269647696476965</v>
      </c>
      <c r="BZ65" s="92">
        <v>1.269647696476965</v>
      </c>
      <c r="CA65" s="92">
        <v>1</v>
      </c>
      <c r="CB65" s="92">
        <v>1.269647696476965</v>
      </c>
      <c r="CC65" s="92">
        <v>1.269647696476965</v>
      </c>
      <c r="CD65" s="92">
        <v>1</v>
      </c>
      <c r="CE65" s="92">
        <v>1.269647696476965</v>
      </c>
      <c r="CF65" s="92">
        <v>1.269647696476965</v>
      </c>
      <c r="CG65" s="92">
        <v>1</v>
      </c>
      <c r="CH65" s="92">
        <v>1.269647696476965</v>
      </c>
      <c r="CI65" s="92">
        <v>1.269647696476965</v>
      </c>
      <c r="CJ65" s="92">
        <v>1</v>
      </c>
      <c r="CK65" s="92">
        <v>1.269647696476965</v>
      </c>
      <c r="CL65" s="92">
        <v>1.269647696476965</v>
      </c>
      <c r="CM65" s="92">
        <v>1</v>
      </c>
      <c r="CN65" s="92">
        <v>1.269647696476965</v>
      </c>
      <c r="CO65" s="92">
        <v>1.269647696476965</v>
      </c>
      <c r="CP65" s="92">
        <v>1</v>
      </c>
      <c r="CQ65" s="92">
        <v>1.269647696476965</v>
      </c>
      <c r="CR65" s="92">
        <v>1.269647696476965</v>
      </c>
    </row>
    <row r="66" spans="1:96" x14ac:dyDescent="0.3">
      <c r="A66" s="3" t="str">
        <f>INDEX(Mapping!$Y:$Y,MATCH($C66,Mapping!$W:$W,0))</f>
        <v>Metro</v>
      </c>
      <c r="B66" s="3" t="str">
        <f>INDEX(Mapping!$V:$V,MATCH(C66,Mapping!$W:$W,0))</f>
        <v>SWV</v>
      </c>
      <c r="C66" t="s">
        <v>165</v>
      </c>
      <c r="D66">
        <v>4</v>
      </c>
      <c r="E66" s="20"/>
      <c r="F66" s="76">
        <v>2217.1174099596933</v>
      </c>
      <c r="G66" s="76">
        <v>2325.8678975425823</v>
      </c>
      <c r="H66" s="76">
        <v>2353.3870758028866</v>
      </c>
      <c r="I66" s="76">
        <v>2424.450136523209</v>
      </c>
      <c r="J66" s="76">
        <v>2397.686126641529</v>
      </c>
      <c r="K66" s="76">
        <v>2512.1253413080226</v>
      </c>
      <c r="L66" s="76">
        <v>2269.4034585879599</v>
      </c>
      <c r="M66" s="76">
        <v>2553.700343689507</v>
      </c>
      <c r="N66" s="76">
        <v>2577.6706606240873</v>
      </c>
      <c r="O66" s="76">
        <v>2599.9655067498657</v>
      </c>
      <c r="P66" s="76">
        <v>2620.8167106915557</v>
      </c>
      <c r="Q66" s="76">
        <v>2640.5366008197188</v>
      </c>
      <c r="R66" s="76">
        <v>2659.7815461166788</v>
      </c>
      <c r="S66" s="76">
        <v>2679.1757840842788</v>
      </c>
      <c r="T66" s="76">
        <v>2697.6485736037553</v>
      </c>
      <c r="U66" s="76">
        <v>2716.9230421291618</v>
      </c>
      <c r="V66" s="76">
        <v>2737.5557078371835</v>
      </c>
      <c r="AX66" s="3" t="s">
        <v>221</v>
      </c>
      <c r="AY66" t="s">
        <v>181</v>
      </c>
      <c r="AZ66" s="92">
        <v>1</v>
      </c>
      <c r="BA66" s="92">
        <v>5.5607476635514006</v>
      </c>
      <c r="BB66" s="92">
        <v>0</v>
      </c>
      <c r="BC66" s="92">
        <v>1</v>
      </c>
      <c r="BD66" s="92">
        <v>8.2705088265835922</v>
      </c>
      <c r="BE66" s="92">
        <v>4.1352544132917961</v>
      </c>
      <c r="BF66" s="92">
        <v>1</v>
      </c>
      <c r="BG66" s="92">
        <v>8.2705088265835922</v>
      </c>
      <c r="BH66" s="92">
        <v>8.2705088265835922</v>
      </c>
      <c r="BI66" s="92">
        <v>1</v>
      </c>
      <c r="BJ66" s="92">
        <v>8.2705088265835922</v>
      </c>
      <c r="BK66" s="92">
        <v>8.2705088265835922</v>
      </c>
      <c r="BL66" s="92">
        <v>1</v>
      </c>
      <c r="BM66" s="92">
        <v>8.2705088265835922</v>
      </c>
      <c r="BN66" s="92">
        <v>8.2705088265835922</v>
      </c>
      <c r="BO66" s="92">
        <v>1</v>
      </c>
      <c r="BP66" s="92">
        <v>8.2705088265835922</v>
      </c>
      <c r="BQ66" s="92">
        <v>8.2705088265835922</v>
      </c>
      <c r="BR66" s="92">
        <v>1</v>
      </c>
      <c r="BS66" s="92">
        <v>8.2705088265835922</v>
      </c>
      <c r="BT66" s="92">
        <v>8.2705088265835922</v>
      </c>
      <c r="BU66" s="92">
        <v>1</v>
      </c>
      <c r="BV66" s="92">
        <v>8.2705088265835922</v>
      </c>
      <c r="BW66" s="92">
        <v>8.2705088265835922</v>
      </c>
      <c r="BX66" s="92">
        <v>1</v>
      </c>
      <c r="BY66" s="92">
        <v>8.2705088265835922</v>
      </c>
      <c r="BZ66" s="92">
        <v>8.2705088265835922</v>
      </c>
      <c r="CA66" s="92">
        <v>1</v>
      </c>
      <c r="CB66" s="92">
        <v>8.2705088265835922</v>
      </c>
      <c r="CC66" s="92">
        <v>8.2705088265835922</v>
      </c>
      <c r="CD66" s="92">
        <v>1</v>
      </c>
      <c r="CE66" s="92">
        <v>8.2705088265835922</v>
      </c>
      <c r="CF66" s="92">
        <v>8.2705088265835922</v>
      </c>
      <c r="CG66" s="92">
        <v>1</v>
      </c>
      <c r="CH66" s="92">
        <v>8.2705088265835922</v>
      </c>
      <c r="CI66" s="92">
        <v>8.2705088265835922</v>
      </c>
      <c r="CJ66" s="92">
        <v>1</v>
      </c>
      <c r="CK66" s="92">
        <v>8.2705088265835922</v>
      </c>
      <c r="CL66" s="92">
        <v>8.2705088265835922</v>
      </c>
      <c r="CM66" s="92">
        <v>1</v>
      </c>
      <c r="CN66" s="92">
        <v>8.2705088265835922</v>
      </c>
      <c r="CO66" s="92">
        <v>8.2705088265835922</v>
      </c>
      <c r="CP66" s="92">
        <v>1</v>
      </c>
      <c r="CQ66" s="92">
        <v>8.2705088265835922</v>
      </c>
      <c r="CR66" s="92">
        <v>8.2705088265835922</v>
      </c>
    </row>
    <row r="67" spans="1:96" x14ac:dyDescent="0.3">
      <c r="A67" s="3" t="str">
        <f>INDEX(Mapping!$Y:$Y,MATCH($C67,Mapping!$W:$W,0))</f>
        <v>Metro</v>
      </c>
      <c r="B67" s="3" t="str">
        <f>INDEX(Mapping!$V:$V,MATCH(C67,Mapping!$W:$W,0))</f>
        <v>SWV</v>
      </c>
      <c r="C67" t="s">
        <v>165</v>
      </c>
      <c r="D67">
        <v>5</v>
      </c>
      <c r="E67" s="20"/>
      <c r="F67" s="76">
        <v>1909.3197243531401</v>
      </c>
      <c r="G67" s="76">
        <v>1955.3730334156808</v>
      </c>
      <c r="H67" s="76">
        <v>1986.4432453517097</v>
      </c>
      <c r="I67" s="76">
        <v>2353.3870758028866</v>
      </c>
      <c r="J67" s="76">
        <v>2424.450136523209</v>
      </c>
      <c r="K67" s="76">
        <v>2397.686126641529</v>
      </c>
      <c r="L67" s="76">
        <v>2512.1253413080226</v>
      </c>
      <c r="M67" s="76">
        <v>2269.4034585879599</v>
      </c>
      <c r="N67" s="76">
        <v>2553.700343689507</v>
      </c>
      <c r="O67" s="76">
        <v>2577.6706606240873</v>
      </c>
      <c r="P67" s="76">
        <v>2599.9655067498657</v>
      </c>
      <c r="Q67" s="76">
        <v>2620.8167106915557</v>
      </c>
      <c r="R67" s="76">
        <v>2640.5366008197188</v>
      </c>
      <c r="S67" s="76">
        <v>2659.7815461166788</v>
      </c>
      <c r="T67" s="76">
        <v>2679.1757840842788</v>
      </c>
      <c r="U67" s="76">
        <v>2697.6485736037553</v>
      </c>
      <c r="V67" s="76">
        <v>2716.9230421291618</v>
      </c>
      <c r="AX67" s="3" t="s">
        <v>221</v>
      </c>
      <c r="AY67" t="s">
        <v>159</v>
      </c>
      <c r="AZ67" s="92">
        <v>1</v>
      </c>
      <c r="BA67" s="92">
        <v>0.45270098909459794</v>
      </c>
      <c r="BB67" s="92">
        <v>0</v>
      </c>
      <c r="BC67" s="92">
        <v>1</v>
      </c>
      <c r="BD67" s="92">
        <v>0.67330289965339407</v>
      </c>
      <c r="BE67" s="92">
        <v>0.33665144982669704</v>
      </c>
      <c r="BF67" s="92">
        <v>1</v>
      </c>
      <c r="BG67" s="92">
        <v>0.67330289965339407</v>
      </c>
      <c r="BH67" s="92">
        <v>0.67330289965339407</v>
      </c>
      <c r="BI67" s="92">
        <v>1</v>
      </c>
      <c r="BJ67" s="92">
        <v>0.67330289965339407</v>
      </c>
      <c r="BK67" s="92">
        <v>0.67330289965339407</v>
      </c>
      <c r="BL67" s="92">
        <v>1</v>
      </c>
      <c r="BM67" s="92">
        <v>0.67330289965339407</v>
      </c>
      <c r="BN67" s="92">
        <v>0.67330289965339407</v>
      </c>
      <c r="BO67" s="92">
        <v>1</v>
      </c>
      <c r="BP67" s="92">
        <v>0.67330289965339407</v>
      </c>
      <c r="BQ67" s="92">
        <v>0.67330289965339407</v>
      </c>
      <c r="BR67" s="92">
        <v>1</v>
      </c>
      <c r="BS67" s="92">
        <v>0.67330289965339407</v>
      </c>
      <c r="BT67" s="92">
        <v>0.67330289965339407</v>
      </c>
      <c r="BU67" s="92">
        <v>1</v>
      </c>
      <c r="BV67" s="92">
        <v>0.67330289965339407</v>
      </c>
      <c r="BW67" s="92">
        <v>0.67330289965339407</v>
      </c>
      <c r="BX67" s="92">
        <v>1</v>
      </c>
      <c r="BY67" s="92">
        <v>0.67330289965339407</v>
      </c>
      <c r="BZ67" s="92">
        <v>0.67330289965339407</v>
      </c>
      <c r="CA67" s="92">
        <v>1</v>
      </c>
      <c r="CB67" s="92">
        <v>0.67330289965339407</v>
      </c>
      <c r="CC67" s="92">
        <v>0.67330289965339407</v>
      </c>
      <c r="CD67" s="92">
        <v>1</v>
      </c>
      <c r="CE67" s="92">
        <v>0.67330289965339407</v>
      </c>
      <c r="CF67" s="92">
        <v>0.67330289965339407</v>
      </c>
      <c r="CG67" s="92">
        <v>1</v>
      </c>
      <c r="CH67" s="92">
        <v>0.67330289965339407</v>
      </c>
      <c r="CI67" s="92">
        <v>0.67330289965339407</v>
      </c>
      <c r="CJ67" s="92">
        <v>1</v>
      </c>
      <c r="CK67" s="92">
        <v>0.67330289965339407</v>
      </c>
      <c r="CL67" s="92">
        <v>0.67330289965339407</v>
      </c>
      <c r="CM67" s="92">
        <v>1</v>
      </c>
      <c r="CN67" s="92">
        <v>0.67330289965339407</v>
      </c>
      <c r="CO67" s="92">
        <v>0.67330289965339407</v>
      </c>
      <c r="CP67" s="92">
        <v>1</v>
      </c>
      <c r="CQ67" s="92">
        <v>0.67330289965339407</v>
      </c>
      <c r="CR67" s="92">
        <v>0.67330289965339407</v>
      </c>
    </row>
    <row r="68" spans="1:96" x14ac:dyDescent="0.3">
      <c r="A68" s="3" t="str">
        <f>INDEX(Mapping!$Y:$Y,MATCH($C68,Mapping!$W:$W,0))</f>
        <v>Rural</v>
      </c>
      <c r="B68" s="3" t="str">
        <f>INDEX(Mapping!$V:$V,MATCH(C68,Mapping!$W:$W,0))</f>
        <v>NWV</v>
      </c>
      <c r="C68" t="s">
        <v>131</v>
      </c>
      <c r="D68">
        <v>0</v>
      </c>
      <c r="E68" s="20"/>
      <c r="F68" s="76">
        <v>43.955555555555556</v>
      </c>
      <c r="G68" s="76">
        <v>42.349206349206355</v>
      </c>
      <c r="H68" s="76">
        <v>40.304761904761904</v>
      </c>
      <c r="I68" s="76">
        <v>39.351790589608392</v>
      </c>
      <c r="J68" s="76">
        <v>38.917468347953552</v>
      </c>
      <c r="K68" s="76">
        <v>38.503413221829661</v>
      </c>
      <c r="L68" s="76">
        <v>38.08285613565068</v>
      </c>
      <c r="M68" s="76">
        <v>37.658369309503819</v>
      </c>
      <c r="N68" s="76">
        <v>37.238410394825799</v>
      </c>
      <c r="O68" s="76">
        <v>36.817718966229272</v>
      </c>
      <c r="P68" s="76">
        <v>36.402072330882696</v>
      </c>
      <c r="Q68" s="76">
        <v>35.994830698152235</v>
      </c>
      <c r="R68" s="76">
        <v>35.592367480282824</v>
      </c>
      <c r="S68" s="76">
        <v>35.193479919540316</v>
      </c>
      <c r="T68" s="76">
        <v>34.792947028783459</v>
      </c>
      <c r="U68" s="76">
        <v>34.390562017423044</v>
      </c>
      <c r="V68" s="76">
        <v>33.990541657900273</v>
      </c>
      <c r="AX68" s="3" t="s">
        <v>221</v>
      </c>
      <c r="AY68" t="s">
        <v>182</v>
      </c>
      <c r="AZ68" s="92">
        <v>1</v>
      </c>
      <c r="BA68" s="92">
        <v>11.44230769230769</v>
      </c>
      <c r="BB68" s="92">
        <v>0</v>
      </c>
      <c r="BC68" s="92">
        <v>1</v>
      </c>
      <c r="BD68" s="92">
        <v>17.018162393162392</v>
      </c>
      <c r="BE68" s="92">
        <v>8.5090811965811959</v>
      </c>
      <c r="BF68" s="92">
        <v>1</v>
      </c>
      <c r="BG68" s="92">
        <v>17.018162393162392</v>
      </c>
      <c r="BH68" s="92">
        <v>17.018162393162392</v>
      </c>
      <c r="BI68" s="92">
        <v>1</v>
      </c>
      <c r="BJ68" s="92">
        <v>17.018162393162392</v>
      </c>
      <c r="BK68" s="92">
        <v>17.018162393162392</v>
      </c>
      <c r="BL68" s="92">
        <v>1</v>
      </c>
      <c r="BM68" s="92">
        <v>17.018162393162392</v>
      </c>
      <c r="BN68" s="92">
        <v>17.018162393162392</v>
      </c>
      <c r="BO68" s="92">
        <v>1</v>
      </c>
      <c r="BP68" s="92">
        <v>17.018162393162392</v>
      </c>
      <c r="BQ68" s="92">
        <v>17.018162393162392</v>
      </c>
      <c r="BR68" s="92">
        <v>1</v>
      </c>
      <c r="BS68" s="92">
        <v>17.018162393162392</v>
      </c>
      <c r="BT68" s="92">
        <v>17.018162393162392</v>
      </c>
      <c r="BU68" s="92">
        <v>1</v>
      </c>
      <c r="BV68" s="92">
        <v>17.018162393162392</v>
      </c>
      <c r="BW68" s="92">
        <v>17.018162393162392</v>
      </c>
      <c r="BX68" s="92">
        <v>1</v>
      </c>
      <c r="BY68" s="92">
        <v>17.018162393162392</v>
      </c>
      <c r="BZ68" s="92">
        <v>17.018162393162392</v>
      </c>
      <c r="CA68" s="92">
        <v>1</v>
      </c>
      <c r="CB68" s="92">
        <v>17.018162393162392</v>
      </c>
      <c r="CC68" s="92">
        <v>17.018162393162392</v>
      </c>
      <c r="CD68" s="92">
        <v>1</v>
      </c>
      <c r="CE68" s="92">
        <v>17.018162393162392</v>
      </c>
      <c r="CF68" s="92">
        <v>17.018162393162392</v>
      </c>
      <c r="CG68" s="92">
        <v>1</v>
      </c>
      <c r="CH68" s="92">
        <v>17.018162393162392</v>
      </c>
      <c r="CI68" s="92">
        <v>17.018162393162392</v>
      </c>
      <c r="CJ68" s="92">
        <v>1</v>
      </c>
      <c r="CK68" s="92">
        <v>17.018162393162392</v>
      </c>
      <c r="CL68" s="92">
        <v>17.018162393162392</v>
      </c>
      <c r="CM68" s="92">
        <v>1</v>
      </c>
      <c r="CN68" s="92">
        <v>17.018162393162392</v>
      </c>
      <c r="CO68" s="92">
        <v>17.018162393162392</v>
      </c>
      <c r="CP68" s="92">
        <v>1</v>
      </c>
      <c r="CQ68" s="92">
        <v>17.018162393162392</v>
      </c>
      <c r="CR68" s="92">
        <v>17.018162393162392</v>
      </c>
    </row>
    <row r="69" spans="1:96" x14ac:dyDescent="0.3">
      <c r="A69" s="3" t="str">
        <f>INDEX(Mapping!$Y:$Y,MATCH($C69,Mapping!$W:$W,0))</f>
        <v>Rural</v>
      </c>
      <c r="B69" s="3" t="str">
        <f>INDEX(Mapping!$V:$V,MATCH(C69,Mapping!$W:$W,0))</f>
        <v>NWV</v>
      </c>
      <c r="C69" t="s">
        <v>131</v>
      </c>
      <c r="D69">
        <v>1</v>
      </c>
      <c r="E69" s="20"/>
      <c r="F69" s="76">
        <v>52.55555555555555</v>
      </c>
      <c r="G69" s="76">
        <v>50.634920634920633</v>
      </c>
      <c r="H69" s="76">
        <v>48.19047619047619</v>
      </c>
      <c r="I69" s="76">
        <v>40.304761904761904</v>
      </c>
      <c r="J69" s="76">
        <v>39.351790589608392</v>
      </c>
      <c r="K69" s="76">
        <v>38.917468347953552</v>
      </c>
      <c r="L69" s="76">
        <v>38.503413221829661</v>
      </c>
      <c r="M69" s="76">
        <v>38.08285613565068</v>
      </c>
      <c r="N69" s="76">
        <v>37.658369309503819</v>
      </c>
      <c r="O69" s="76">
        <v>37.238410394825799</v>
      </c>
      <c r="P69" s="76">
        <v>36.817718966229272</v>
      </c>
      <c r="Q69" s="76">
        <v>36.402072330882696</v>
      </c>
      <c r="R69" s="76">
        <v>35.994830698152235</v>
      </c>
      <c r="S69" s="76">
        <v>35.592367480282824</v>
      </c>
      <c r="T69" s="76">
        <v>35.193479919540316</v>
      </c>
      <c r="U69" s="76">
        <v>34.792947028783459</v>
      </c>
      <c r="V69" s="76">
        <v>34.390562017423044</v>
      </c>
      <c r="AX69" s="3" t="s">
        <v>221</v>
      </c>
      <c r="AY69" t="s">
        <v>183</v>
      </c>
      <c r="AZ69" s="92">
        <v>1</v>
      </c>
      <c r="BA69" s="92">
        <v>29.262295081967203</v>
      </c>
      <c r="BB69" s="92">
        <v>0</v>
      </c>
      <c r="BC69" s="92">
        <v>1</v>
      </c>
      <c r="BD69" s="92">
        <v>43.521857923497258</v>
      </c>
      <c r="BE69" s="92">
        <v>21.760928961748629</v>
      </c>
      <c r="BF69" s="92">
        <v>1</v>
      </c>
      <c r="BG69" s="92">
        <v>43.521857923497258</v>
      </c>
      <c r="BH69" s="92">
        <v>43.521857923497258</v>
      </c>
      <c r="BI69" s="92">
        <v>1</v>
      </c>
      <c r="BJ69" s="92">
        <v>43.521857923497258</v>
      </c>
      <c r="BK69" s="92">
        <v>43.521857923497258</v>
      </c>
      <c r="BL69" s="92">
        <v>1</v>
      </c>
      <c r="BM69" s="92">
        <v>43.521857923497258</v>
      </c>
      <c r="BN69" s="92">
        <v>43.521857923497258</v>
      </c>
      <c r="BO69" s="92">
        <v>1</v>
      </c>
      <c r="BP69" s="92">
        <v>43.521857923497258</v>
      </c>
      <c r="BQ69" s="92">
        <v>43.521857923497258</v>
      </c>
      <c r="BR69" s="92">
        <v>1</v>
      </c>
      <c r="BS69" s="92">
        <v>43.521857923497258</v>
      </c>
      <c r="BT69" s="92">
        <v>43.521857923497258</v>
      </c>
      <c r="BU69" s="92">
        <v>1</v>
      </c>
      <c r="BV69" s="92">
        <v>43.521857923497258</v>
      </c>
      <c r="BW69" s="92">
        <v>43.521857923497258</v>
      </c>
      <c r="BX69" s="92">
        <v>1</v>
      </c>
      <c r="BY69" s="92">
        <v>43.521857923497258</v>
      </c>
      <c r="BZ69" s="92">
        <v>43.521857923497258</v>
      </c>
      <c r="CA69" s="92">
        <v>1</v>
      </c>
      <c r="CB69" s="92">
        <v>43.521857923497258</v>
      </c>
      <c r="CC69" s="92">
        <v>43.521857923497258</v>
      </c>
      <c r="CD69" s="92">
        <v>1</v>
      </c>
      <c r="CE69" s="92">
        <v>43.521857923497258</v>
      </c>
      <c r="CF69" s="92">
        <v>43.521857923497258</v>
      </c>
      <c r="CG69" s="92">
        <v>1</v>
      </c>
      <c r="CH69" s="92">
        <v>43.521857923497258</v>
      </c>
      <c r="CI69" s="92">
        <v>43.521857923497258</v>
      </c>
      <c r="CJ69" s="92">
        <v>1</v>
      </c>
      <c r="CK69" s="92">
        <v>43.521857923497258</v>
      </c>
      <c r="CL69" s="92">
        <v>43.521857923497258</v>
      </c>
      <c r="CM69" s="92">
        <v>1</v>
      </c>
      <c r="CN69" s="92">
        <v>43.521857923497258</v>
      </c>
      <c r="CO69" s="92">
        <v>43.521857923497258</v>
      </c>
      <c r="CP69" s="92">
        <v>1</v>
      </c>
      <c r="CQ69" s="92">
        <v>43.521857923497258</v>
      </c>
      <c r="CR69" s="92">
        <v>43.521857923497258</v>
      </c>
    </row>
    <row r="70" spans="1:96" x14ac:dyDescent="0.3">
      <c r="A70" s="3" t="str">
        <f>INDEX(Mapping!$Y:$Y,MATCH($C70,Mapping!$W:$W,0))</f>
        <v>Rural</v>
      </c>
      <c r="B70" s="3" t="str">
        <f>INDEX(Mapping!$V:$V,MATCH(C70,Mapping!$W:$W,0))</f>
        <v>NWV</v>
      </c>
      <c r="C70" t="s">
        <v>131</v>
      </c>
      <c r="D70">
        <v>2</v>
      </c>
      <c r="E70" s="20"/>
      <c r="F70" s="76">
        <v>43</v>
      </c>
      <c r="G70" s="76">
        <v>41.428571428571423</v>
      </c>
      <c r="H70" s="76">
        <v>39.428571428571423</v>
      </c>
      <c r="I70" s="76">
        <v>48.19047619047619</v>
      </c>
      <c r="J70" s="76">
        <v>40.304761904761904</v>
      </c>
      <c r="K70" s="76">
        <v>39.351790589608392</v>
      </c>
      <c r="L70" s="76">
        <v>38.917468347953552</v>
      </c>
      <c r="M70" s="76">
        <v>38.503413221829661</v>
      </c>
      <c r="N70" s="76">
        <v>38.08285613565068</v>
      </c>
      <c r="O70" s="76">
        <v>37.658369309503819</v>
      </c>
      <c r="P70" s="76">
        <v>37.238410394825799</v>
      </c>
      <c r="Q70" s="76">
        <v>36.817718966229272</v>
      </c>
      <c r="R70" s="76">
        <v>36.402072330882696</v>
      </c>
      <c r="S70" s="76">
        <v>35.994830698152235</v>
      </c>
      <c r="T70" s="76">
        <v>35.592367480282824</v>
      </c>
      <c r="U70" s="76">
        <v>35.193479919540316</v>
      </c>
      <c r="V70" s="76">
        <v>34.792947028783459</v>
      </c>
      <c r="AX70" s="3" t="s">
        <v>221</v>
      </c>
      <c r="AY70" t="s">
        <v>160</v>
      </c>
      <c r="AZ70" s="92">
        <v>0.99999999999999978</v>
      </c>
      <c r="BA70" s="92">
        <v>2.0901639344262293</v>
      </c>
      <c r="BB70" s="92">
        <v>0</v>
      </c>
      <c r="BC70" s="92">
        <v>0.99999999999999978</v>
      </c>
      <c r="BD70" s="92">
        <v>3.1087041373926616</v>
      </c>
      <c r="BE70" s="92">
        <v>1.5543520686963308</v>
      </c>
      <c r="BF70" s="92">
        <v>0.99999999999999978</v>
      </c>
      <c r="BG70" s="92">
        <v>3.1087041373926616</v>
      </c>
      <c r="BH70" s="92">
        <v>3.1087041373926616</v>
      </c>
      <c r="BI70" s="92">
        <v>0.99999999999999978</v>
      </c>
      <c r="BJ70" s="92">
        <v>3.1087041373926616</v>
      </c>
      <c r="BK70" s="92">
        <v>3.1087041373926616</v>
      </c>
      <c r="BL70" s="92">
        <v>0.99999999999999978</v>
      </c>
      <c r="BM70" s="92">
        <v>3.1087041373926616</v>
      </c>
      <c r="BN70" s="92">
        <v>3.1087041373926616</v>
      </c>
      <c r="BO70" s="92">
        <v>0.99999999999999978</v>
      </c>
      <c r="BP70" s="92">
        <v>3.1087041373926616</v>
      </c>
      <c r="BQ70" s="92">
        <v>3.1087041373926616</v>
      </c>
      <c r="BR70" s="92">
        <v>0.99999999999999978</v>
      </c>
      <c r="BS70" s="92">
        <v>3.1087041373926616</v>
      </c>
      <c r="BT70" s="92">
        <v>3.1087041373926616</v>
      </c>
      <c r="BU70" s="92">
        <v>0.99999999999999978</v>
      </c>
      <c r="BV70" s="92">
        <v>3.1087041373926616</v>
      </c>
      <c r="BW70" s="92">
        <v>3.1087041373926616</v>
      </c>
      <c r="BX70" s="92">
        <v>0.99999999999999978</v>
      </c>
      <c r="BY70" s="92">
        <v>3.1087041373926616</v>
      </c>
      <c r="BZ70" s="92">
        <v>3.1087041373926616</v>
      </c>
      <c r="CA70" s="92">
        <v>0.99999999999999978</v>
      </c>
      <c r="CB70" s="92">
        <v>3.1087041373926616</v>
      </c>
      <c r="CC70" s="92">
        <v>3.1087041373926616</v>
      </c>
      <c r="CD70" s="92">
        <v>0.99999999999999978</v>
      </c>
      <c r="CE70" s="92">
        <v>3.1087041373926616</v>
      </c>
      <c r="CF70" s="92">
        <v>3.1087041373926616</v>
      </c>
      <c r="CG70" s="92">
        <v>0.99999999999999978</v>
      </c>
      <c r="CH70" s="92">
        <v>3.1087041373926616</v>
      </c>
      <c r="CI70" s="92">
        <v>3.1087041373926616</v>
      </c>
      <c r="CJ70" s="92">
        <v>0.99999999999999978</v>
      </c>
      <c r="CK70" s="92">
        <v>3.1087041373926616</v>
      </c>
      <c r="CL70" s="92">
        <v>3.1087041373926616</v>
      </c>
      <c r="CM70" s="92">
        <v>0.99999999999999978</v>
      </c>
      <c r="CN70" s="92">
        <v>3.1087041373926616</v>
      </c>
      <c r="CO70" s="92">
        <v>3.1087041373926616</v>
      </c>
      <c r="CP70" s="92">
        <v>0.99999999999999978</v>
      </c>
      <c r="CQ70" s="92">
        <v>3.1087041373926616</v>
      </c>
      <c r="CR70" s="92">
        <v>3.1087041373926616</v>
      </c>
    </row>
    <row r="71" spans="1:96" x14ac:dyDescent="0.3">
      <c r="A71" s="3" t="str">
        <f>INDEX(Mapping!$Y:$Y,MATCH($C71,Mapping!$W:$W,0))</f>
        <v>Rural</v>
      </c>
      <c r="B71" s="3" t="str">
        <f>INDEX(Mapping!$V:$V,MATCH(C71,Mapping!$W:$W,0))</f>
        <v>NWV</v>
      </c>
      <c r="C71" t="s">
        <v>131</v>
      </c>
      <c r="D71">
        <v>3</v>
      </c>
      <c r="E71" s="20"/>
      <c r="F71" s="76">
        <v>50.644444444444446</v>
      </c>
      <c r="G71" s="76">
        <v>48.793650793650798</v>
      </c>
      <c r="H71" s="76">
        <v>46.438095238095244</v>
      </c>
      <c r="I71" s="76">
        <v>39.428571428571423</v>
      </c>
      <c r="J71" s="76">
        <v>48.19047619047619</v>
      </c>
      <c r="K71" s="76">
        <v>40.304761904761904</v>
      </c>
      <c r="L71" s="76">
        <v>39.351790589608392</v>
      </c>
      <c r="M71" s="76">
        <v>38.917468347953552</v>
      </c>
      <c r="N71" s="76">
        <v>38.503413221829661</v>
      </c>
      <c r="O71" s="76">
        <v>38.08285613565068</v>
      </c>
      <c r="P71" s="76">
        <v>37.658369309503819</v>
      </c>
      <c r="Q71" s="76">
        <v>37.238410394825799</v>
      </c>
      <c r="R71" s="76">
        <v>36.817718966229272</v>
      </c>
      <c r="S71" s="76">
        <v>36.402072330882696</v>
      </c>
      <c r="T71" s="76">
        <v>35.994830698152235</v>
      </c>
      <c r="U71" s="76">
        <v>35.592367480282824</v>
      </c>
      <c r="V71" s="76">
        <v>35.193479919540316</v>
      </c>
      <c r="AX71" s="3" t="s">
        <v>221</v>
      </c>
      <c r="AY71" t="s">
        <v>184</v>
      </c>
      <c r="AZ71" s="92">
        <v>0.99999999999999978</v>
      </c>
      <c r="BA71" s="92">
        <v>3.324022346368714</v>
      </c>
      <c r="BB71" s="92">
        <v>0</v>
      </c>
      <c r="BC71" s="92">
        <v>0.99999999999999978</v>
      </c>
      <c r="BD71" s="92">
        <v>4.9438237119801354</v>
      </c>
      <c r="BE71" s="92">
        <v>2.4719118559900677</v>
      </c>
      <c r="BF71" s="92">
        <v>0.99999999999999978</v>
      </c>
      <c r="BG71" s="92">
        <v>4.9438237119801354</v>
      </c>
      <c r="BH71" s="92">
        <v>4.9438237119801354</v>
      </c>
      <c r="BI71" s="92">
        <v>0.99999999999999978</v>
      </c>
      <c r="BJ71" s="92">
        <v>4.9438237119801354</v>
      </c>
      <c r="BK71" s="92">
        <v>4.9438237119801354</v>
      </c>
      <c r="BL71" s="92">
        <v>0.99999999999999978</v>
      </c>
      <c r="BM71" s="92">
        <v>4.9438237119801354</v>
      </c>
      <c r="BN71" s="92">
        <v>4.9438237119801354</v>
      </c>
      <c r="BO71" s="92">
        <v>0.99999999999999978</v>
      </c>
      <c r="BP71" s="92">
        <v>4.9438237119801354</v>
      </c>
      <c r="BQ71" s="92">
        <v>4.9438237119801354</v>
      </c>
      <c r="BR71" s="92">
        <v>0.99999999999999978</v>
      </c>
      <c r="BS71" s="92">
        <v>4.9438237119801354</v>
      </c>
      <c r="BT71" s="92">
        <v>4.9438237119801354</v>
      </c>
      <c r="BU71" s="92">
        <v>0.99999999999999978</v>
      </c>
      <c r="BV71" s="92">
        <v>4.9438237119801354</v>
      </c>
      <c r="BW71" s="92">
        <v>4.9438237119801354</v>
      </c>
      <c r="BX71" s="92">
        <v>0.99999999999999978</v>
      </c>
      <c r="BY71" s="92">
        <v>4.9438237119801354</v>
      </c>
      <c r="BZ71" s="92">
        <v>4.9438237119801354</v>
      </c>
      <c r="CA71" s="92">
        <v>0.99999999999999978</v>
      </c>
      <c r="CB71" s="92">
        <v>4.9438237119801354</v>
      </c>
      <c r="CC71" s="92">
        <v>4.9438237119801354</v>
      </c>
      <c r="CD71" s="92">
        <v>0.99999999999999978</v>
      </c>
      <c r="CE71" s="92">
        <v>4.9438237119801354</v>
      </c>
      <c r="CF71" s="92">
        <v>4.9438237119801354</v>
      </c>
      <c r="CG71" s="92">
        <v>0.99999999999999978</v>
      </c>
      <c r="CH71" s="92">
        <v>4.9438237119801354</v>
      </c>
      <c r="CI71" s="92">
        <v>4.9438237119801354</v>
      </c>
      <c r="CJ71" s="92">
        <v>0.99999999999999978</v>
      </c>
      <c r="CK71" s="92">
        <v>4.9438237119801354</v>
      </c>
      <c r="CL71" s="92">
        <v>4.9438237119801354</v>
      </c>
      <c r="CM71" s="92">
        <v>0.99999999999999978</v>
      </c>
      <c r="CN71" s="92">
        <v>4.9438237119801354</v>
      </c>
      <c r="CO71" s="92">
        <v>4.9438237119801354</v>
      </c>
      <c r="CP71" s="92">
        <v>0.99999999999999978</v>
      </c>
      <c r="CQ71" s="92">
        <v>4.9438237119801354</v>
      </c>
      <c r="CR71" s="92">
        <v>4.9438237119801354</v>
      </c>
    </row>
    <row r="72" spans="1:96" x14ac:dyDescent="0.3">
      <c r="A72" s="3" t="str">
        <f>INDEX(Mapping!$Y:$Y,MATCH($C72,Mapping!$W:$W,0))</f>
        <v>Rural</v>
      </c>
      <c r="B72" s="3" t="str">
        <f>INDEX(Mapping!$V:$V,MATCH(C72,Mapping!$W:$W,0))</f>
        <v>NWV</v>
      </c>
      <c r="C72" t="s">
        <v>131</v>
      </c>
      <c r="D72">
        <v>4</v>
      </c>
      <c r="E72" s="20"/>
      <c r="F72" s="76">
        <v>49.68888888888889</v>
      </c>
      <c r="G72" s="76">
        <v>47.873015873015873</v>
      </c>
      <c r="H72" s="76">
        <v>45.561904761904763</v>
      </c>
      <c r="I72" s="76">
        <v>46.438095238095244</v>
      </c>
      <c r="J72" s="76">
        <v>39.428571428571423</v>
      </c>
      <c r="K72" s="76">
        <v>48.19047619047619</v>
      </c>
      <c r="L72" s="76">
        <v>40.304761904761904</v>
      </c>
      <c r="M72" s="76">
        <v>39.351790589608392</v>
      </c>
      <c r="N72" s="76">
        <v>38.917468347953552</v>
      </c>
      <c r="O72" s="76">
        <v>38.503413221829661</v>
      </c>
      <c r="P72" s="76">
        <v>38.08285613565068</v>
      </c>
      <c r="Q72" s="76">
        <v>37.658369309503819</v>
      </c>
      <c r="R72" s="76">
        <v>37.238410394825799</v>
      </c>
      <c r="S72" s="76">
        <v>36.817718966229272</v>
      </c>
      <c r="T72" s="76">
        <v>36.402072330882696</v>
      </c>
      <c r="U72" s="76">
        <v>35.994830698152235</v>
      </c>
      <c r="V72" s="76">
        <v>35.592367480282824</v>
      </c>
      <c r="AX72" s="3" t="s">
        <v>221</v>
      </c>
      <c r="AY72" t="s">
        <v>161</v>
      </c>
      <c r="AZ72" s="92">
        <v>0.99999999999999978</v>
      </c>
      <c r="BA72" s="92">
        <v>0.55590158829025216</v>
      </c>
      <c r="BB72" s="92">
        <v>0</v>
      </c>
      <c r="BC72" s="92">
        <v>0.99999999999999978</v>
      </c>
      <c r="BD72" s="92">
        <v>0.82679331464756545</v>
      </c>
      <c r="BE72" s="92">
        <v>0.41339665732378272</v>
      </c>
      <c r="BF72" s="92">
        <v>0.99999999999999978</v>
      </c>
      <c r="BG72" s="92">
        <v>0.82679331464756545</v>
      </c>
      <c r="BH72" s="92">
        <v>0.82679331464756545</v>
      </c>
      <c r="BI72" s="92">
        <v>0.99999999999999978</v>
      </c>
      <c r="BJ72" s="92">
        <v>0.82679331464756545</v>
      </c>
      <c r="BK72" s="92">
        <v>0.82679331464756545</v>
      </c>
      <c r="BL72" s="92">
        <v>0.99999999999999978</v>
      </c>
      <c r="BM72" s="92">
        <v>0.82679331464756545</v>
      </c>
      <c r="BN72" s="92">
        <v>0.82679331464756545</v>
      </c>
      <c r="BO72" s="92">
        <v>0.99999999999999978</v>
      </c>
      <c r="BP72" s="92">
        <v>0.82679331464756545</v>
      </c>
      <c r="BQ72" s="92">
        <v>0.82679331464756545</v>
      </c>
      <c r="BR72" s="92">
        <v>0.99999999999999978</v>
      </c>
      <c r="BS72" s="92">
        <v>0.82679331464756545</v>
      </c>
      <c r="BT72" s="92">
        <v>0.82679331464756545</v>
      </c>
      <c r="BU72" s="92">
        <v>0.99999999999999978</v>
      </c>
      <c r="BV72" s="92">
        <v>0.82679331464756545</v>
      </c>
      <c r="BW72" s="92">
        <v>0.82679331464756545</v>
      </c>
      <c r="BX72" s="92">
        <v>0.99999999999999978</v>
      </c>
      <c r="BY72" s="92">
        <v>0.82679331464756545</v>
      </c>
      <c r="BZ72" s="92">
        <v>0.82679331464756545</v>
      </c>
      <c r="CA72" s="92">
        <v>0.99999999999999978</v>
      </c>
      <c r="CB72" s="92">
        <v>0.82679331464756545</v>
      </c>
      <c r="CC72" s="92">
        <v>0.82679331464756545</v>
      </c>
      <c r="CD72" s="92">
        <v>0.99999999999999978</v>
      </c>
      <c r="CE72" s="92">
        <v>0.82679331464756545</v>
      </c>
      <c r="CF72" s="92">
        <v>0.82679331464756545</v>
      </c>
      <c r="CG72" s="92">
        <v>0.99999999999999978</v>
      </c>
      <c r="CH72" s="92">
        <v>0.82679331464756545</v>
      </c>
      <c r="CI72" s="92">
        <v>0.82679331464756545</v>
      </c>
      <c r="CJ72" s="92">
        <v>0.99999999999999978</v>
      </c>
      <c r="CK72" s="92">
        <v>0.82679331464756545</v>
      </c>
      <c r="CL72" s="92">
        <v>0.82679331464756545</v>
      </c>
      <c r="CM72" s="92">
        <v>0.99999999999999978</v>
      </c>
      <c r="CN72" s="92">
        <v>0.82679331464756545</v>
      </c>
      <c r="CO72" s="92">
        <v>0.82679331464756545</v>
      </c>
      <c r="CP72" s="92">
        <v>0.99999999999999978</v>
      </c>
      <c r="CQ72" s="92">
        <v>0.82679331464756545</v>
      </c>
      <c r="CR72" s="92">
        <v>0.82679331464756545</v>
      </c>
    </row>
    <row r="73" spans="1:96" x14ac:dyDescent="0.3">
      <c r="A73" s="3" t="str">
        <f>INDEX(Mapping!$Y:$Y,MATCH($C73,Mapping!$W:$W,0))</f>
        <v>Rural</v>
      </c>
      <c r="B73" s="3" t="str">
        <f>INDEX(Mapping!$V:$V,MATCH(C73,Mapping!$W:$W,0))</f>
        <v>NWV</v>
      </c>
      <c r="C73" t="s">
        <v>131</v>
      </c>
      <c r="D73">
        <v>5</v>
      </c>
      <c r="E73" s="20"/>
      <c r="F73" s="76">
        <v>81.269841269841265</v>
      </c>
      <c r="G73" s="76">
        <v>76.19047619047619</v>
      </c>
      <c r="H73" s="76">
        <v>70.704761904761909</v>
      </c>
      <c r="I73" s="76">
        <v>45.561904761904763</v>
      </c>
      <c r="J73" s="76">
        <v>46.438095238095244</v>
      </c>
      <c r="K73" s="76">
        <v>39.428571428571423</v>
      </c>
      <c r="L73" s="76">
        <v>48.19047619047619</v>
      </c>
      <c r="M73" s="76">
        <v>40.304761904761904</v>
      </c>
      <c r="N73" s="76">
        <v>39.351790589608392</v>
      </c>
      <c r="O73" s="76">
        <v>38.917468347953552</v>
      </c>
      <c r="P73" s="76">
        <v>38.503413221829661</v>
      </c>
      <c r="Q73" s="76">
        <v>38.08285613565068</v>
      </c>
      <c r="R73" s="76">
        <v>37.658369309503819</v>
      </c>
      <c r="S73" s="76">
        <v>37.238410394825799</v>
      </c>
      <c r="T73" s="76">
        <v>36.817718966229272</v>
      </c>
      <c r="U73" s="76">
        <v>36.402072330882696</v>
      </c>
      <c r="V73" s="76">
        <v>35.994830698152235</v>
      </c>
      <c r="AX73" s="3" t="s">
        <v>221</v>
      </c>
      <c r="AY73" t="s">
        <v>124</v>
      </c>
      <c r="AZ73" s="92">
        <v>0.99999999999999967</v>
      </c>
      <c r="BA73" s="92">
        <v>6.7613636363636349</v>
      </c>
      <c r="BB73" s="92">
        <v>0</v>
      </c>
      <c r="BC73" s="92">
        <v>0.99999999999999967</v>
      </c>
      <c r="BD73" s="92">
        <v>10.056186868686867</v>
      </c>
      <c r="BE73" s="92">
        <v>5.0280934343434334</v>
      </c>
      <c r="BF73" s="92">
        <v>0.99999999999999967</v>
      </c>
      <c r="BG73" s="92">
        <v>10.056186868686867</v>
      </c>
      <c r="BH73" s="92">
        <v>10.056186868686867</v>
      </c>
      <c r="BI73" s="92">
        <v>0.99999999999999967</v>
      </c>
      <c r="BJ73" s="92">
        <v>10.056186868686867</v>
      </c>
      <c r="BK73" s="92">
        <v>10.056186868686867</v>
      </c>
      <c r="BL73" s="92">
        <v>0.99999999999999967</v>
      </c>
      <c r="BM73" s="92">
        <v>10.056186868686867</v>
      </c>
      <c r="BN73" s="92">
        <v>10.056186868686867</v>
      </c>
      <c r="BO73" s="92">
        <v>0.99999999999999967</v>
      </c>
      <c r="BP73" s="92">
        <v>10.056186868686867</v>
      </c>
      <c r="BQ73" s="92">
        <v>10.056186868686867</v>
      </c>
      <c r="BR73" s="92">
        <v>0.99999999999999967</v>
      </c>
      <c r="BS73" s="92">
        <v>10.056186868686867</v>
      </c>
      <c r="BT73" s="92">
        <v>10.056186868686867</v>
      </c>
      <c r="BU73" s="92">
        <v>0.99999999999999967</v>
      </c>
      <c r="BV73" s="92">
        <v>10.056186868686867</v>
      </c>
      <c r="BW73" s="92">
        <v>10.056186868686867</v>
      </c>
      <c r="BX73" s="92">
        <v>0.99999999999999967</v>
      </c>
      <c r="BY73" s="92">
        <v>10.056186868686867</v>
      </c>
      <c r="BZ73" s="92">
        <v>10.056186868686867</v>
      </c>
      <c r="CA73" s="92">
        <v>0.99999999999999967</v>
      </c>
      <c r="CB73" s="92">
        <v>10.056186868686867</v>
      </c>
      <c r="CC73" s="92">
        <v>10.056186868686867</v>
      </c>
      <c r="CD73" s="92">
        <v>0.99999999999999967</v>
      </c>
      <c r="CE73" s="92">
        <v>10.056186868686867</v>
      </c>
      <c r="CF73" s="92">
        <v>10.056186868686867</v>
      </c>
      <c r="CG73" s="92">
        <v>0.99999999999999967</v>
      </c>
      <c r="CH73" s="92">
        <v>10.056186868686867</v>
      </c>
      <c r="CI73" s="92">
        <v>10.056186868686867</v>
      </c>
      <c r="CJ73" s="92">
        <v>0.99999999999999967</v>
      </c>
      <c r="CK73" s="92">
        <v>10.056186868686867</v>
      </c>
      <c r="CL73" s="92">
        <v>10.056186868686867</v>
      </c>
      <c r="CM73" s="92">
        <v>0.99999999999999967</v>
      </c>
      <c r="CN73" s="92">
        <v>10.056186868686867</v>
      </c>
      <c r="CO73" s="92">
        <v>10.056186868686867</v>
      </c>
      <c r="CP73" s="92">
        <v>0.99999999999999967</v>
      </c>
      <c r="CQ73" s="92">
        <v>10.056186868686867</v>
      </c>
      <c r="CR73" s="92">
        <v>10.056186868686867</v>
      </c>
    </row>
    <row r="74" spans="1:96" x14ac:dyDescent="0.3">
      <c r="A74" s="3" t="str">
        <f>INDEX(Mapping!$Y:$Y,MATCH($C74,Mapping!$W:$W,0))</f>
        <v>Rural</v>
      </c>
      <c r="B74" s="3" t="str">
        <f>INDEX(Mapping!$V:$V,MATCH(C74,Mapping!$W:$W,0))</f>
        <v>NWV</v>
      </c>
      <c r="C74" t="s">
        <v>132</v>
      </c>
      <c r="D74">
        <v>0</v>
      </c>
      <c r="E74" s="20"/>
      <c r="F74" s="76">
        <v>332.0656262505002</v>
      </c>
      <c r="G74" s="76">
        <v>336.57943177270909</v>
      </c>
      <c r="H74" s="76">
        <v>326.19767907162867</v>
      </c>
      <c r="I74" s="76">
        <v>368.73947403357693</v>
      </c>
      <c r="J74" s="76">
        <v>369.867074575755</v>
      </c>
      <c r="K74" s="76">
        <v>371.00551403562935</v>
      </c>
      <c r="L74" s="76">
        <v>372.24833327016557</v>
      </c>
      <c r="M74" s="76">
        <v>373.47811927891223</v>
      </c>
      <c r="N74" s="76">
        <v>374.8081729063951</v>
      </c>
      <c r="O74" s="76">
        <v>376.2197192508645</v>
      </c>
      <c r="P74" s="76">
        <v>377.63108787408834</v>
      </c>
      <c r="Q74" s="76">
        <v>379.06357035560353</v>
      </c>
      <c r="R74" s="76">
        <v>380.54610809078076</v>
      </c>
      <c r="S74" s="76">
        <v>381.9990729215142</v>
      </c>
      <c r="T74" s="76">
        <v>383.45054864513628</v>
      </c>
      <c r="U74" s="76">
        <v>384.89832005730193</v>
      </c>
      <c r="V74" s="76">
        <v>386.33749134588328</v>
      </c>
      <c r="AX74" s="3" t="s">
        <v>221</v>
      </c>
      <c r="AY74" t="s">
        <v>185</v>
      </c>
      <c r="AZ74" s="92">
        <v>0.99999999999999978</v>
      </c>
      <c r="BA74" s="92">
        <v>1.711409395973154</v>
      </c>
      <c r="BB74" s="92">
        <v>0</v>
      </c>
      <c r="BC74" s="92">
        <v>0.99999999999999978</v>
      </c>
      <c r="BD74" s="92">
        <v>2.5453819111537226</v>
      </c>
      <c r="BE74" s="92">
        <v>1.2726909555768613</v>
      </c>
      <c r="BF74" s="92">
        <v>0.99999999999999978</v>
      </c>
      <c r="BG74" s="92">
        <v>2.5453819111537226</v>
      </c>
      <c r="BH74" s="92">
        <v>2.5453819111537226</v>
      </c>
      <c r="BI74" s="92">
        <v>0.99999999999999978</v>
      </c>
      <c r="BJ74" s="92">
        <v>2.5453819111537226</v>
      </c>
      <c r="BK74" s="92">
        <v>2.5453819111537226</v>
      </c>
      <c r="BL74" s="92">
        <v>0.99999999999999978</v>
      </c>
      <c r="BM74" s="92">
        <v>2.5453819111537226</v>
      </c>
      <c r="BN74" s="92">
        <v>2.5453819111537226</v>
      </c>
      <c r="BO74" s="92">
        <v>0.99999999999999978</v>
      </c>
      <c r="BP74" s="92">
        <v>2.5453819111537226</v>
      </c>
      <c r="BQ74" s="92">
        <v>2.5453819111537226</v>
      </c>
      <c r="BR74" s="92">
        <v>0.99999999999999978</v>
      </c>
      <c r="BS74" s="92">
        <v>2.5453819111537226</v>
      </c>
      <c r="BT74" s="92">
        <v>2.5453819111537226</v>
      </c>
      <c r="BU74" s="92">
        <v>0.99999999999999978</v>
      </c>
      <c r="BV74" s="92">
        <v>2.5453819111537226</v>
      </c>
      <c r="BW74" s="92">
        <v>2.5453819111537226</v>
      </c>
      <c r="BX74" s="92">
        <v>0.99999999999999978</v>
      </c>
      <c r="BY74" s="92">
        <v>2.5453819111537226</v>
      </c>
      <c r="BZ74" s="92">
        <v>2.5453819111537226</v>
      </c>
      <c r="CA74" s="92">
        <v>0.99999999999999978</v>
      </c>
      <c r="CB74" s="92">
        <v>2.5453819111537226</v>
      </c>
      <c r="CC74" s="92">
        <v>2.5453819111537226</v>
      </c>
      <c r="CD74" s="92">
        <v>0.99999999999999978</v>
      </c>
      <c r="CE74" s="92">
        <v>2.5453819111537226</v>
      </c>
      <c r="CF74" s="92">
        <v>2.5453819111537226</v>
      </c>
      <c r="CG74" s="92">
        <v>0.99999999999999978</v>
      </c>
      <c r="CH74" s="92">
        <v>2.5453819111537226</v>
      </c>
      <c r="CI74" s="92">
        <v>2.5453819111537226</v>
      </c>
      <c r="CJ74" s="92">
        <v>0.99999999999999978</v>
      </c>
      <c r="CK74" s="92">
        <v>2.5453819111537226</v>
      </c>
      <c r="CL74" s="92">
        <v>2.5453819111537226</v>
      </c>
      <c r="CM74" s="92">
        <v>0.99999999999999978</v>
      </c>
      <c r="CN74" s="92">
        <v>2.5453819111537226</v>
      </c>
      <c r="CO74" s="92">
        <v>2.5453819111537226</v>
      </c>
      <c r="CP74" s="92">
        <v>0.99999999999999978</v>
      </c>
      <c r="CQ74" s="92">
        <v>2.5453819111537226</v>
      </c>
      <c r="CR74" s="92">
        <v>2.5453819111537226</v>
      </c>
    </row>
    <row r="75" spans="1:96" x14ac:dyDescent="0.3">
      <c r="A75" s="3" t="str">
        <f>INDEX(Mapping!$Y:$Y,MATCH($C75,Mapping!$W:$W,0))</f>
        <v>Rural</v>
      </c>
      <c r="B75" s="3" t="str">
        <f>INDEX(Mapping!$V:$V,MATCH(C75,Mapping!$W:$W,0))</f>
        <v>NWV</v>
      </c>
      <c r="C75" t="s">
        <v>132</v>
      </c>
      <c r="D75">
        <v>1</v>
      </c>
      <c r="E75" s="20"/>
      <c r="F75" s="76">
        <v>340.0140056022409</v>
      </c>
      <c r="G75" s="76">
        <v>344.63585434173672</v>
      </c>
      <c r="H75" s="76">
        <v>334.00560224089639</v>
      </c>
      <c r="I75" s="76">
        <v>326.19767907162867</v>
      </c>
      <c r="J75" s="76">
        <v>368.73947403357693</v>
      </c>
      <c r="K75" s="76">
        <v>369.867074575755</v>
      </c>
      <c r="L75" s="76">
        <v>371.00551403562935</v>
      </c>
      <c r="M75" s="76">
        <v>372.24833327016557</v>
      </c>
      <c r="N75" s="76">
        <v>373.47811927891223</v>
      </c>
      <c r="O75" s="76">
        <v>374.8081729063951</v>
      </c>
      <c r="P75" s="76">
        <v>376.2197192508645</v>
      </c>
      <c r="Q75" s="76">
        <v>377.63108787408834</v>
      </c>
      <c r="R75" s="76">
        <v>379.06357035560353</v>
      </c>
      <c r="S75" s="76">
        <v>380.54610809078076</v>
      </c>
      <c r="T75" s="76">
        <v>381.9990729215142</v>
      </c>
      <c r="U75" s="76">
        <v>383.45054864513628</v>
      </c>
      <c r="V75" s="76">
        <v>384.89832005730193</v>
      </c>
      <c r="AX75" s="3" t="s">
        <v>221</v>
      </c>
      <c r="AY75" t="s">
        <v>144</v>
      </c>
      <c r="AZ75" s="92">
        <v>1</v>
      </c>
      <c r="BA75" s="92">
        <v>1.9444444444444442</v>
      </c>
      <c r="BB75" s="92">
        <v>0</v>
      </c>
      <c r="BC75" s="92">
        <v>1</v>
      </c>
      <c r="BD75" s="92">
        <v>2.8919753086419751</v>
      </c>
      <c r="BE75" s="92">
        <v>1.4459876543209875</v>
      </c>
      <c r="BF75" s="92">
        <v>1</v>
      </c>
      <c r="BG75" s="92">
        <v>2.8919753086419751</v>
      </c>
      <c r="BH75" s="92">
        <v>2.8919753086419751</v>
      </c>
      <c r="BI75" s="92">
        <v>1</v>
      </c>
      <c r="BJ75" s="92">
        <v>2.8919753086419751</v>
      </c>
      <c r="BK75" s="92">
        <v>2.8919753086419751</v>
      </c>
      <c r="BL75" s="92">
        <v>1</v>
      </c>
      <c r="BM75" s="92">
        <v>2.8919753086419751</v>
      </c>
      <c r="BN75" s="92">
        <v>2.8919753086419751</v>
      </c>
      <c r="BO75" s="92">
        <v>1</v>
      </c>
      <c r="BP75" s="92">
        <v>2.8919753086419751</v>
      </c>
      <c r="BQ75" s="92">
        <v>2.8919753086419751</v>
      </c>
      <c r="BR75" s="92">
        <v>1</v>
      </c>
      <c r="BS75" s="92">
        <v>2.8919753086419751</v>
      </c>
      <c r="BT75" s="92">
        <v>2.8919753086419751</v>
      </c>
      <c r="BU75" s="92">
        <v>1</v>
      </c>
      <c r="BV75" s="92">
        <v>2.8919753086419751</v>
      </c>
      <c r="BW75" s="92">
        <v>2.8919753086419751</v>
      </c>
      <c r="BX75" s="92">
        <v>1</v>
      </c>
      <c r="BY75" s="92">
        <v>2.8919753086419751</v>
      </c>
      <c r="BZ75" s="92">
        <v>2.8919753086419751</v>
      </c>
      <c r="CA75" s="92">
        <v>1</v>
      </c>
      <c r="CB75" s="92">
        <v>2.8919753086419751</v>
      </c>
      <c r="CC75" s="92">
        <v>2.8919753086419751</v>
      </c>
      <c r="CD75" s="92">
        <v>1</v>
      </c>
      <c r="CE75" s="92">
        <v>2.8919753086419751</v>
      </c>
      <c r="CF75" s="92">
        <v>2.8919753086419751</v>
      </c>
      <c r="CG75" s="92">
        <v>1</v>
      </c>
      <c r="CH75" s="92">
        <v>2.8919753086419751</v>
      </c>
      <c r="CI75" s="92">
        <v>2.8919753086419751</v>
      </c>
      <c r="CJ75" s="92">
        <v>1</v>
      </c>
      <c r="CK75" s="92">
        <v>2.8919753086419751</v>
      </c>
      <c r="CL75" s="92">
        <v>2.8919753086419751</v>
      </c>
      <c r="CM75" s="92">
        <v>1</v>
      </c>
      <c r="CN75" s="92">
        <v>2.8919753086419751</v>
      </c>
      <c r="CO75" s="92">
        <v>2.8919753086419751</v>
      </c>
      <c r="CP75" s="92">
        <v>1</v>
      </c>
      <c r="CQ75" s="92">
        <v>2.8919753086419751</v>
      </c>
      <c r="CR75" s="92">
        <v>2.8919753086419751</v>
      </c>
    </row>
    <row r="76" spans="1:96" x14ac:dyDescent="0.3">
      <c r="A76" s="3" t="str">
        <f>INDEX(Mapping!$Y:$Y,MATCH($C76,Mapping!$W:$W,0))</f>
        <v>Rural</v>
      </c>
      <c r="B76" s="3" t="str">
        <f>INDEX(Mapping!$V:$V,MATCH(C76,Mapping!$W:$W,0))</f>
        <v>NWV</v>
      </c>
      <c r="C76" t="s">
        <v>132</v>
      </c>
      <c r="D76">
        <v>2</v>
      </c>
      <c r="E76" s="20"/>
      <c r="F76" s="76">
        <v>370.92436974789916</v>
      </c>
      <c r="G76" s="76">
        <v>375.96638655462186</v>
      </c>
      <c r="H76" s="76">
        <v>364.36974789915968</v>
      </c>
      <c r="I76" s="76">
        <v>334.00560224089639</v>
      </c>
      <c r="J76" s="76">
        <v>326.19767907162867</v>
      </c>
      <c r="K76" s="76">
        <v>368.73947403357693</v>
      </c>
      <c r="L76" s="76">
        <v>369.867074575755</v>
      </c>
      <c r="M76" s="76">
        <v>371.00551403562935</v>
      </c>
      <c r="N76" s="76">
        <v>372.24833327016557</v>
      </c>
      <c r="O76" s="76">
        <v>373.47811927891223</v>
      </c>
      <c r="P76" s="76">
        <v>374.8081729063951</v>
      </c>
      <c r="Q76" s="76">
        <v>376.2197192508645</v>
      </c>
      <c r="R76" s="76">
        <v>377.63108787408834</v>
      </c>
      <c r="S76" s="76">
        <v>379.06357035560353</v>
      </c>
      <c r="T76" s="76">
        <v>380.54610809078076</v>
      </c>
      <c r="U76" s="76">
        <v>381.9990729215142</v>
      </c>
      <c r="V76" s="76">
        <v>383.45054864513628</v>
      </c>
      <c r="AX76" s="3" t="s">
        <v>221</v>
      </c>
      <c r="AY76" t="s">
        <v>125</v>
      </c>
      <c r="AZ76" s="92">
        <v>0.99999999999999978</v>
      </c>
      <c r="BA76" s="92">
        <v>10.950920245398772</v>
      </c>
      <c r="BB76" s="92">
        <v>0</v>
      </c>
      <c r="BC76" s="92">
        <v>0.99999999999999978</v>
      </c>
      <c r="BD76" s="92">
        <v>16.287321063394682</v>
      </c>
      <c r="BE76" s="92">
        <v>8.1436605316973409</v>
      </c>
      <c r="BF76" s="92">
        <v>0.99999999999999978</v>
      </c>
      <c r="BG76" s="92">
        <v>16.287321063394682</v>
      </c>
      <c r="BH76" s="92">
        <v>16.287321063394682</v>
      </c>
      <c r="BI76" s="92">
        <v>0.99999999999999978</v>
      </c>
      <c r="BJ76" s="92">
        <v>16.287321063394682</v>
      </c>
      <c r="BK76" s="92">
        <v>16.287321063394682</v>
      </c>
      <c r="BL76" s="92">
        <v>0.99999999999999978</v>
      </c>
      <c r="BM76" s="92">
        <v>16.287321063394682</v>
      </c>
      <c r="BN76" s="92">
        <v>16.287321063394682</v>
      </c>
      <c r="BO76" s="92">
        <v>0.99999999999999978</v>
      </c>
      <c r="BP76" s="92">
        <v>16.287321063394682</v>
      </c>
      <c r="BQ76" s="92">
        <v>16.287321063394682</v>
      </c>
      <c r="BR76" s="92">
        <v>0.99999999999999978</v>
      </c>
      <c r="BS76" s="92">
        <v>16.287321063394682</v>
      </c>
      <c r="BT76" s="92">
        <v>16.287321063394682</v>
      </c>
      <c r="BU76" s="92">
        <v>0.99999999999999978</v>
      </c>
      <c r="BV76" s="92">
        <v>16.287321063394682</v>
      </c>
      <c r="BW76" s="92">
        <v>16.287321063394682</v>
      </c>
      <c r="BX76" s="92">
        <v>0.99999999999999978</v>
      </c>
      <c r="BY76" s="92">
        <v>16.287321063394682</v>
      </c>
      <c r="BZ76" s="92">
        <v>16.287321063394682</v>
      </c>
      <c r="CA76" s="92">
        <v>0.99999999999999978</v>
      </c>
      <c r="CB76" s="92">
        <v>16.287321063394682</v>
      </c>
      <c r="CC76" s="92">
        <v>16.287321063394682</v>
      </c>
      <c r="CD76" s="92">
        <v>0.99999999999999978</v>
      </c>
      <c r="CE76" s="92">
        <v>16.287321063394682</v>
      </c>
      <c r="CF76" s="92">
        <v>16.287321063394682</v>
      </c>
      <c r="CG76" s="92">
        <v>0.99999999999999978</v>
      </c>
      <c r="CH76" s="92">
        <v>16.287321063394682</v>
      </c>
      <c r="CI76" s="92">
        <v>16.287321063394682</v>
      </c>
      <c r="CJ76" s="92">
        <v>0.99999999999999978</v>
      </c>
      <c r="CK76" s="92">
        <v>16.287321063394682</v>
      </c>
      <c r="CL76" s="92">
        <v>16.287321063394682</v>
      </c>
      <c r="CM76" s="92">
        <v>0.99999999999999978</v>
      </c>
      <c r="CN76" s="92">
        <v>16.287321063394682</v>
      </c>
      <c r="CO76" s="92">
        <v>16.287321063394682</v>
      </c>
      <c r="CP76" s="92">
        <v>0.99999999999999978</v>
      </c>
      <c r="CQ76" s="92">
        <v>16.287321063394682</v>
      </c>
      <c r="CR76" s="92">
        <v>16.287321063394682</v>
      </c>
    </row>
    <row r="77" spans="1:96" x14ac:dyDescent="0.3">
      <c r="A77" s="3" t="str">
        <f>INDEX(Mapping!$Y:$Y,MATCH($C77,Mapping!$W:$W,0))</f>
        <v>Rural</v>
      </c>
      <c r="B77" s="3" t="str">
        <f>INDEX(Mapping!$V:$V,MATCH(C77,Mapping!$W:$W,0))</f>
        <v>NWV</v>
      </c>
      <c r="C77" t="s">
        <v>132</v>
      </c>
      <c r="D77">
        <v>3</v>
      </c>
      <c r="E77" s="20"/>
      <c r="F77" s="76">
        <v>392.12004801920773</v>
      </c>
      <c r="G77" s="76">
        <v>397.45018007202884</v>
      </c>
      <c r="H77" s="76">
        <v>385.19087635054024</v>
      </c>
      <c r="I77" s="76">
        <v>364.36974789915968</v>
      </c>
      <c r="J77" s="76">
        <v>334.00560224089639</v>
      </c>
      <c r="K77" s="76">
        <v>326.19767907162867</v>
      </c>
      <c r="L77" s="76">
        <v>368.73947403357693</v>
      </c>
      <c r="M77" s="76">
        <v>369.867074575755</v>
      </c>
      <c r="N77" s="76">
        <v>371.00551403562935</v>
      </c>
      <c r="O77" s="76">
        <v>372.24833327016557</v>
      </c>
      <c r="P77" s="76">
        <v>373.47811927891223</v>
      </c>
      <c r="Q77" s="76">
        <v>374.8081729063951</v>
      </c>
      <c r="R77" s="76">
        <v>376.2197192508645</v>
      </c>
      <c r="S77" s="76">
        <v>377.63108787408834</v>
      </c>
      <c r="T77" s="76">
        <v>379.06357035560353</v>
      </c>
      <c r="U77" s="76">
        <v>380.54610809078076</v>
      </c>
      <c r="V77" s="76">
        <v>381.9990729215142</v>
      </c>
      <c r="AX77" s="3" t="s">
        <v>221</v>
      </c>
      <c r="AY77" t="s">
        <v>126</v>
      </c>
      <c r="AZ77" s="92">
        <v>0.99999999999999978</v>
      </c>
      <c r="BA77" s="92">
        <v>2.0683661645422937</v>
      </c>
      <c r="BB77" s="92">
        <v>0</v>
      </c>
      <c r="BC77" s="92">
        <v>0.99999999999999978</v>
      </c>
      <c r="BD77" s="92">
        <v>3.0762842796446499</v>
      </c>
      <c r="BE77" s="92">
        <v>1.5381421398223249</v>
      </c>
      <c r="BF77" s="92">
        <v>0.99999999999999978</v>
      </c>
      <c r="BG77" s="92">
        <v>3.0762842796446499</v>
      </c>
      <c r="BH77" s="92">
        <v>3.0762842796446499</v>
      </c>
      <c r="BI77" s="92">
        <v>0.99999999999999978</v>
      </c>
      <c r="BJ77" s="92">
        <v>3.0762842796446499</v>
      </c>
      <c r="BK77" s="92">
        <v>3.0762842796446499</v>
      </c>
      <c r="BL77" s="92">
        <v>0.99999999999999978</v>
      </c>
      <c r="BM77" s="92">
        <v>3.0762842796446499</v>
      </c>
      <c r="BN77" s="92">
        <v>3.0762842796446499</v>
      </c>
      <c r="BO77" s="92">
        <v>0.99999999999999978</v>
      </c>
      <c r="BP77" s="92">
        <v>3.0762842796446499</v>
      </c>
      <c r="BQ77" s="92">
        <v>3.0762842796446499</v>
      </c>
      <c r="BR77" s="92">
        <v>0.99999999999999978</v>
      </c>
      <c r="BS77" s="92">
        <v>3.0762842796446499</v>
      </c>
      <c r="BT77" s="92">
        <v>3.0762842796446499</v>
      </c>
      <c r="BU77" s="92">
        <v>0.99999999999999978</v>
      </c>
      <c r="BV77" s="92">
        <v>3.0762842796446499</v>
      </c>
      <c r="BW77" s="92">
        <v>3.0762842796446499</v>
      </c>
      <c r="BX77" s="92">
        <v>0.99999999999999978</v>
      </c>
      <c r="BY77" s="92">
        <v>3.0762842796446499</v>
      </c>
      <c r="BZ77" s="92">
        <v>3.0762842796446499</v>
      </c>
      <c r="CA77" s="92">
        <v>0.99999999999999978</v>
      </c>
      <c r="CB77" s="92">
        <v>3.0762842796446499</v>
      </c>
      <c r="CC77" s="92">
        <v>3.0762842796446499</v>
      </c>
      <c r="CD77" s="92">
        <v>0.99999999999999978</v>
      </c>
      <c r="CE77" s="92">
        <v>3.0762842796446499</v>
      </c>
      <c r="CF77" s="92">
        <v>3.0762842796446499</v>
      </c>
      <c r="CG77" s="92">
        <v>0.99999999999999978</v>
      </c>
      <c r="CH77" s="92">
        <v>3.0762842796446499</v>
      </c>
      <c r="CI77" s="92">
        <v>3.0762842796446499</v>
      </c>
      <c r="CJ77" s="92">
        <v>0.99999999999999978</v>
      </c>
      <c r="CK77" s="92">
        <v>3.0762842796446499</v>
      </c>
      <c r="CL77" s="92">
        <v>3.0762842796446499</v>
      </c>
      <c r="CM77" s="92">
        <v>0.99999999999999978</v>
      </c>
      <c r="CN77" s="92">
        <v>3.0762842796446499</v>
      </c>
      <c r="CO77" s="92">
        <v>3.0762842796446499</v>
      </c>
      <c r="CP77" s="92">
        <v>0.99999999999999978</v>
      </c>
      <c r="CQ77" s="92">
        <v>3.0762842796446499</v>
      </c>
      <c r="CR77" s="92">
        <v>3.0762842796446499</v>
      </c>
    </row>
    <row r="78" spans="1:96" x14ac:dyDescent="0.3">
      <c r="A78" s="3" t="str">
        <f>INDEX(Mapping!$Y:$Y,MATCH($C78,Mapping!$W:$W,0))</f>
        <v>Rural</v>
      </c>
      <c r="B78" s="3" t="str">
        <f>INDEX(Mapping!$V:$V,MATCH(C78,Mapping!$W:$W,0))</f>
        <v>NWV</v>
      </c>
      <c r="C78" t="s">
        <v>132</v>
      </c>
      <c r="D78">
        <v>4</v>
      </c>
      <c r="E78" s="20"/>
      <c r="F78" s="76">
        <v>391.23689475790314</v>
      </c>
      <c r="G78" s="76">
        <v>396.55502200880352</v>
      </c>
      <c r="H78" s="76">
        <v>384.32332933173268</v>
      </c>
      <c r="I78" s="76">
        <v>385.19087635054024</v>
      </c>
      <c r="J78" s="76">
        <v>364.36974789915968</v>
      </c>
      <c r="K78" s="76">
        <v>334.00560224089639</v>
      </c>
      <c r="L78" s="76">
        <v>326.19767907162867</v>
      </c>
      <c r="M78" s="76">
        <v>368.73947403357693</v>
      </c>
      <c r="N78" s="76">
        <v>369.867074575755</v>
      </c>
      <c r="O78" s="76">
        <v>371.00551403562935</v>
      </c>
      <c r="P78" s="76">
        <v>372.24833327016557</v>
      </c>
      <c r="Q78" s="76">
        <v>373.47811927891223</v>
      </c>
      <c r="R78" s="76">
        <v>374.8081729063951</v>
      </c>
      <c r="S78" s="76">
        <v>376.2197192508645</v>
      </c>
      <c r="T78" s="76">
        <v>377.63108787408834</v>
      </c>
      <c r="U78" s="76">
        <v>379.06357035560353</v>
      </c>
      <c r="V78" s="76">
        <v>380.54610809078076</v>
      </c>
      <c r="AX78" s="3" t="s">
        <v>221</v>
      </c>
      <c r="AY78" t="s">
        <v>186</v>
      </c>
      <c r="AZ78" s="92">
        <v>1</v>
      </c>
      <c r="BA78" s="92">
        <v>1.6376146788990824</v>
      </c>
      <c r="BB78" s="92">
        <v>0</v>
      </c>
      <c r="BC78" s="92">
        <v>1</v>
      </c>
      <c r="BD78" s="92">
        <v>2.4356269113149844</v>
      </c>
      <c r="BE78" s="92">
        <v>1.2178134556574922</v>
      </c>
      <c r="BF78" s="92">
        <v>1</v>
      </c>
      <c r="BG78" s="92">
        <v>2.4356269113149844</v>
      </c>
      <c r="BH78" s="92">
        <v>2.4356269113149844</v>
      </c>
      <c r="BI78" s="92">
        <v>1</v>
      </c>
      <c r="BJ78" s="92">
        <v>2.4356269113149844</v>
      </c>
      <c r="BK78" s="92">
        <v>2.4356269113149844</v>
      </c>
      <c r="BL78" s="92">
        <v>1</v>
      </c>
      <c r="BM78" s="92">
        <v>2.4356269113149844</v>
      </c>
      <c r="BN78" s="92">
        <v>2.4356269113149844</v>
      </c>
      <c r="BO78" s="92">
        <v>1</v>
      </c>
      <c r="BP78" s="92">
        <v>2.4356269113149844</v>
      </c>
      <c r="BQ78" s="92">
        <v>2.4356269113149844</v>
      </c>
      <c r="BR78" s="92">
        <v>1</v>
      </c>
      <c r="BS78" s="92">
        <v>2.4356269113149844</v>
      </c>
      <c r="BT78" s="92">
        <v>2.4356269113149844</v>
      </c>
      <c r="BU78" s="92">
        <v>1</v>
      </c>
      <c r="BV78" s="92">
        <v>2.4356269113149844</v>
      </c>
      <c r="BW78" s="92">
        <v>2.4356269113149844</v>
      </c>
      <c r="BX78" s="92">
        <v>1</v>
      </c>
      <c r="BY78" s="92">
        <v>2.4356269113149844</v>
      </c>
      <c r="BZ78" s="92">
        <v>2.4356269113149844</v>
      </c>
      <c r="CA78" s="92">
        <v>1</v>
      </c>
      <c r="CB78" s="92">
        <v>2.4356269113149844</v>
      </c>
      <c r="CC78" s="92">
        <v>2.4356269113149844</v>
      </c>
      <c r="CD78" s="92">
        <v>1</v>
      </c>
      <c r="CE78" s="92">
        <v>2.4356269113149844</v>
      </c>
      <c r="CF78" s="92">
        <v>2.4356269113149844</v>
      </c>
      <c r="CG78" s="92">
        <v>1</v>
      </c>
      <c r="CH78" s="92">
        <v>2.4356269113149844</v>
      </c>
      <c r="CI78" s="92">
        <v>2.4356269113149844</v>
      </c>
      <c r="CJ78" s="92">
        <v>1</v>
      </c>
      <c r="CK78" s="92">
        <v>2.4356269113149844</v>
      </c>
      <c r="CL78" s="92">
        <v>2.4356269113149844</v>
      </c>
      <c r="CM78" s="92">
        <v>1</v>
      </c>
      <c r="CN78" s="92">
        <v>2.4356269113149844</v>
      </c>
      <c r="CO78" s="92">
        <v>2.4356269113149844</v>
      </c>
      <c r="CP78" s="92">
        <v>1</v>
      </c>
      <c r="CQ78" s="92">
        <v>2.4356269113149844</v>
      </c>
      <c r="CR78" s="92">
        <v>2.4356269113149844</v>
      </c>
    </row>
    <row r="79" spans="1:96" x14ac:dyDescent="0.3">
      <c r="A79" s="3" t="str">
        <f>INDEX(Mapping!$Y:$Y,MATCH($C79,Mapping!$W:$W,0))</f>
        <v>Rural</v>
      </c>
      <c r="B79" s="3" t="str">
        <f>INDEX(Mapping!$V:$V,MATCH(C79,Mapping!$W:$W,0))</f>
        <v>NWV</v>
      </c>
      <c r="C79" t="s">
        <v>132</v>
      </c>
      <c r="D79">
        <v>5</v>
      </c>
      <c r="E79" s="20"/>
      <c r="F79" s="76">
        <v>399.61064425770309</v>
      </c>
      <c r="G79" s="76">
        <v>404.26730692276908</v>
      </c>
      <c r="H79" s="76">
        <v>406.68187274909963</v>
      </c>
      <c r="I79" s="76">
        <v>384.32332933173268</v>
      </c>
      <c r="J79" s="76">
        <v>385.19087635054024</v>
      </c>
      <c r="K79" s="76">
        <v>364.36974789915968</v>
      </c>
      <c r="L79" s="76">
        <v>334.00560224089639</v>
      </c>
      <c r="M79" s="76">
        <v>326.19767907162867</v>
      </c>
      <c r="N79" s="76">
        <v>368.73947403357693</v>
      </c>
      <c r="O79" s="76">
        <v>369.867074575755</v>
      </c>
      <c r="P79" s="76">
        <v>371.00551403562935</v>
      </c>
      <c r="Q79" s="76">
        <v>372.24833327016557</v>
      </c>
      <c r="R79" s="76">
        <v>373.47811927891223</v>
      </c>
      <c r="S79" s="76">
        <v>374.8081729063951</v>
      </c>
      <c r="T79" s="76">
        <v>376.2197192508645</v>
      </c>
      <c r="U79" s="76">
        <v>377.63108787408834</v>
      </c>
      <c r="V79" s="76">
        <v>379.06357035560353</v>
      </c>
      <c r="AX79" s="3" t="s">
        <v>221</v>
      </c>
      <c r="AY79" t="s">
        <v>162</v>
      </c>
      <c r="AZ79" s="92">
        <v>0.99999999999999967</v>
      </c>
      <c r="BA79" s="92">
        <v>1.2749999999999997</v>
      </c>
      <c r="BB79" s="92">
        <v>0</v>
      </c>
      <c r="BC79" s="92">
        <v>0.99999999999999967</v>
      </c>
      <c r="BD79" s="92">
        <v>1.8963095238095233</v>
      </c>
      <c r="BE79" s="92">
        <v>0.94815476190476167</v>
      </c>
      <c r="BF79" s="92">
        <v>0.99999999999999967</v>
      </c>
      <c r="BG79" s="92">
        <v>1.8963095238095233</v>
      </c>
      <c r="BH79" s="92">
        <v>1.8963095238095233</v>
      </c>
      <c r="BI79" s="92">
        <v>0.99999999999999967</v>
      </c>
      <c r="BJ79" s="92">
        <v>1.8963095238095233</v>
      </c>
      <c r="BK79" s="92">
        <v>1.8963095238095233</v>
      </c>
      <c r="BL79" s="92">
        <v>0.99999999999999967</v>
      </c>
      <c r="BM79" s="92">
        <v>1.8963095238095233</v>
      </c>
      <c r="BN79" s="92">
        <v>1.8963095238095233</v>
      </c>
      <c r="BO79" s="92">
        <v>0.99999999999999967</v>
      </c>
      <c r="BP79" s="92">
        <v>1.8963095238095233</v>
      </c>
      <c r="BQ79" s="92">
        <v>1.8963095238095233</v>
      </c>
      <c r="BR79" s="92">
        <v>0.99999999999999967</v>
      </c>
      <c r="BS79" s="92">
        <v>1.8963095238095233</v>
      </c>
      <c r="BT79" s="92">
        <v>1.8963095238095233</v>
      </c>
      <c r="BU79" s="92">
        <v>0.99999999999999967</v>
      </c>
      <c r="BV79" s="92">
        <v>1.8963095238095233</v>
      </c>
      <c r="BW79" s="92">
        <v>1.8963095238095233</v>
      </c>
      <c r="BX79" s="92">
        <v>0.99999999999999967</v>
      </c>
      <c r="BY79" s="92">
        <v>1.8963095238095233</v>
      </c>
      <c r="BZ79" s="92">
        <v>1.8963095238095233</v>
      </c>
      <c r="CA79" s="92">
        <v>0.99999999999999967</v>
      </c>
      <c r="CB79" s="92">
        <v>1.8963095238095233</v>
      </c>
      <c r="CC79" s="92">
        <v>1.8963095238095233</v>
      </c>
      <c r="CD79" s="92">
        <v>0.99999999999999967</v>
      </c>
      <c r="CE79" s="92">
        <v>1.8963095238095233</v>
      </c>
      <c r="CF79" s="92">
        <v>1.8963095238095233</v>
      </c>
      <c r="CG79" s="92">
        <v>0.99999999999999967</v>
      </c>
      <c r="CH79" s="92">
        <v>1.8963095238095233</v>
      </c>
      <c r="CI79" s="92">
        <v>1.8963095238095233</v>
      </c>
      <c r="CJ79" s="92">
        <v>0.99999999999999967</v>
      </c>
      <c r="CK79" s="92">
        <v>1.8963095238095233</v>
      </c>
      <c r="CL79" s="92">
        <v>1.8963095238095233</v>
      </c>
      <c r="CM79" s="92">
        <v>0.99999999999999967</v>
      </c>
      <c r="CN79" s="92">
        <v>1.8963095238095233</v>
      </c>
      <c r="CO79" s="92">
        <v>1.8963095238095233</v>
      </c>
      <c r="CP79" s="92">
        <v>0.99999999999999967</v>
      </c>
      <c r="CQ79" s="92">
        <v>1.8963095238095233</v>
      </c>
      <c r="CR79" s="92">
        <v>1.8963095238095233</v>
      </c>
    </row>
    <row r="80" spans="1:96" x14ac:dyDescent="0.3">
      <c r="A80" s="3" t="str">
        <f>INDEX(Mapping!$Y:$Y,MATCH($C80,Mapping!$W:$W,0))</f>
        <v>Interface</v>
      </c>
      <c r="B80" s="3" t="str">
        <f>INDEX(Mapping!$V:$V,MATCH(C80,Mapping!$W:$W,0))</f>
        <v>SEV</v>
      </c>
      <c r="C80" t="s">
        <v>150</v>
      </c>
      <c r="D80">
        <v>0</v>
      </c>
      <c r="E80" s="20"/>
      <c r="F80" s="76">
        <v>1201.4262101534828</v>
      </c>
      <c r="G80" s="76">
        <v>1296.5442739079101</v>
      </c>
      <c r="H80" s="76">
        <v>1348.9752066115702</v>
      </c>
      <c r="I80" s="76">
        <v>1558.4562320411394</v>
      </c>
      <c r="J80" s="76">
        <v>1624.5757125710616</v>
      </c>
      <c r="K80" s="76">
        <v>1692.471627464364</v>
      </c>
      <c r="L80" s="76">
        <v>1760.9210621916773</v>
      </c>
      <c r="M80" s="76">
        <v>1830.5480673464424</v>
      </c>
      <c r="N80" s="76">
        <v>1900.7179973735697</v>
      </c>
      <c r="O80" s="76">
        <v>1969.9347314200661</v>
      </c>
      <c r="P80" s="76">
        <v>2038.4726202963855</v>
      </c>
      <c r="Q80" s="76">
        <v>2107.6287361920913</v>
      </c>
      <c r="R80" s="76">
        <v>2172.4562467395381</v>
      </c>
      <c r="S80" s="76">
        <v>2235.2040852407636</v>
      </c>
      <c r="T80" s="76">
        <v>2297.2799745494767</v>
      </c>
      <c r="U80" s="76">
        <v>2357.4803261560846</v>
      </c>
      <c r="V80" s="76">
        <v>2413.7117283398807</v>
      </c>
      <c r="AX80" s="3" t="s">
        <v>221</v>
      </c>
      <c r="AY80" t="s">
        <v>187</v>
      </c>
      <c r="AZ80" s="92">
        <v>1</v>
      </c>
      <c r="BA80" s="92">
        <v>15.256410256410255</v>
      </c>
      <c r="BB80" s="92">
        <v>0</v>
      </c>
      <c r="BC80" s="92">
        <v>1</v>
      </c>
      <c r="BD80" s="92">
        <v>22.690883190883188</v>
      </c>
      <c r="BE80" s="92">
        <v>11.345441595441594</v>
      </c>
      <c r="BF80" s="92">
        <v>1</v>
      </c>
      <c r="BG80" s="92">
        <v>22.690883190883188</v>
      </c>
      <c r="BH80" s="92">
        <v>22.690883190883188</v>
      </c>
      <c r="BI80" s="92">
        <v>1</v>
      </c>
      <c r="BJ80" s="92">
        <v>22.690883190883188</v>
      </c>
      <c r="BK80" s="92">
        <v>22.690883190883188</v>
      </c>
      <c r="BL80" s="92">
        <v>1</v>
      </c>
      <c r="BM80" s="92">
        <v>22.690883190883188</v>
      </c>
      <c r="BN80" s="92">
        <v>22.690883190883188</v>
      </c>
      <c r="BO80" s="92">
        <v>1</v>
      </c>
      <c r="BP80" s="92">
        <v>22.690883190883188</v>
      </c>
      <c r="BQ80" s="92">
        <v>22.690883190883188</v>
      </c>
      <c r="BR80" s="92">
        <v>1</v>
      </c>
      <c r="BS80" s="92">
        <v>22.690883190883188</v>
      </c>
      <c r="BT80" s="92">
        <v>22.690883190883188</v>
      </c>
      <c r="BU80" s="92">
        <v>1</v>
      </c>
      <c r="BV80" s="92">
        <v>22.690883190883188</v>
      </c>
      <c r="BW80" s="92">
        <v>22.690883190883188</v>
      </c>
      <c r="BX80" s="92">
        <v>1</v>
      </c>
      <c r="BY80" s="92">
        <v>22.690883190883188</v>
      </c>
      <c r="BZ80" s="92">
        <v>22.690883190883188</v>
      </c>
      <c r="CA80" s="92">
        <v>1</v>
      </c>
      <c r="CB80" s="92">
        <v>22.690883190883188</v>
      </c>
      <c r="CC80" s="92">
        <v>22.690883190883188</v>
      </c>
      <c r="CD80" s="92">
        <v>1</v>
      </c>
      <c r="CE80" s="92">
        <v>22.690883190883188</v>
      </c>
      <c r="CF80" s="92">
        <v>22.690883190883188</v>
      </c>
      <c r="CG80" s="92">
        <v>1</v>
      </c>
      <c r="CH80" s="92">
        <v>22.690883190883188</v>
      </c>
      <c r="CI80" s="92">
        <v>22.690883190883188</v>
      </c>
      <c r="CJ80" s="92">
        <v>1</v>
      </c>
      <c r="CK80" s="92">
        <v>22.690883190883188</v>
      </c>
      <c r="CL80" s="92">
        <v>22.690883190883188</v>
      </c>
      <c r="CM80" s="92">
        <v>1</v>
      </c>
      <c r="CN80" s="92">
        <v>22.690883190883188</v>
      </c>
      <c r="CO80" s="92">
        <v>22.690883190883188</v>
      </c>
      <c r="CP80" s="92">
        <v>1</v>
      </c>
      <c r="CQ80" s="92">
        <v>22.690883190883188</v>
      </c>
      <c r="CR80" s="92">
        <v>22.690883190883188</v>
      </c>
    </row>
    <row r="81" spans="1:96" x14ac:dyDescent="0.3">
      <c r="A81" s="3" t="str">
        <f>INDEX(Mapping!$Y:$Y,MATCH($C81,Mapping!$W:$W,0))</f>
        <v>Interface</v>
      </c>
      <c r="B81" s="3" t="str">
        <f>INDEX(Mapping!$V:$V,MATCH(C81,Mapping!$W:$W,0))</f>
        <v>SEV</v>
      </c>
      <c r="C81" t="s">
        <v>150</v>
      </c>
      <c r="D81">
        <v>1</v>
      </c>
      <c r="E81" s="20"/>
      <c r="F81" s="76">
        <v>1359.0039712353762</v>
      </c>
      <c r="G81" s="76">
        <v>1466.5976172587743</v>
      </c>
      <c r="H81" s="76">
        <v>1525.9053343350865</v>
      </c>
      <c r="I81" s="76">
        <v>1348.9752066115702</v>
      </c>
      <c r="J81" s="76">
        <v>1558.4562320411394</v>
      </c>
      <c r="K81" s="76">
        <v>1624.5757125710616</v>
      </c>
      <c r="L81" s="76">
        <v>1692.471627464364</v>
      </c>
      <c r="M81" s="76">
        <v>1760.9210621916773</v>
      </c>
      <c r="N81" s="76">
        <v>1830.5480673464424</v>
      </c>
      <c r="O81" s="76">
        <v>1900.7179973735697</v>
      </c>
      <c r="P81" s="76">
        <v>1969.9347314200661</v>
      </c>
      <c r="Q81" s="76">
        <v>2038.4726202963855</v>
      </c>
      <c r="R81" s="76">
        <v>2107.6287361920913</v>
      </c>
      <c r="S81" s="76">
        <v>2172.4562467395381</v>
      </c>
      <c r="T81" s="76">
        <v>2235.2040852407636</v>
      </c>
      <c r="U81" s="76">
        <v>2297.2799745494767</v>
      </c>
      <c r="V81" s="76">
        <v>2357.4803261560846</v>
      </c>
      <c r="AX81" s="3" t="s">
        <v>221</v>
      </c>
      <c r="AY81" t="s">
        <v>127</v>
      </c>
      <c r="AZ81" s="92">
        <v>1</v>
      </c>
      <c r="BA81" s="92">
        <v>0.3256704980842911</v>
      </c>
      <c r="BB81" s="92">
        <v>0</v>
      </c>
      <c r="BC81" s="92">
        <v>1</v>
      </c>
      <c r="BD81" s="92">
        <v>0.48437024873806472</v>
      </c>
      <c r="BE81" s="92">
        <v>0.24218512436903236</v>
      </c>
      <c r="BF81" s="92">
        <v>1</v>
      </c>
      <c r="BG81" s="92">
        <v>0.48437024873806472</v>
      </c>
      <c r="BH81" s="92">
        <v>0.48437024873806472</v>
      </c>
      <c r="BI81" s="92">
        <v>1</v>
      </c>
      <c r="BJ81" s="92">
        <v>0.48437024873806472</v>
      </c>
      <c r="BK81" s="92">
        <v>0.48437024873806472</v>
      </c>
      <c r="BL81" s="92">
        <v>1</v>
      </c>
      <c r="BM81" s="92">
        <v>0.48437024873806472</v>
      </c>
      <c r="BN81" s="92">
        <v>0.48437024873806472</v>
      </c>
      <c r="BO81" s="92">
        <v>1</v>
      </c>
      <c r="BP81" s="92">
        <v>0.48437024873806472</v>
      </c>
      <c r="BQ81" s="92">
        <v>0.48437024873806472</v>
      </c>
      <c r="BR81" s="92">
        <v>1</v>
      </c>
      <c r="BS81" s="92">
        <v>0.48437024873806472</v>
      </c>
      <c r="BT81" s="92">
        <v>0.48437024873806472</v>
      </c>
      <c r="BU81" s="92">
        <v>1</v>
      </c>
      <c r="BV81" s="92">
        <v>0.48437024873806472</v>
      </c>
      <c r="BW81" s="92">
        <v>0.48437024873806472</v>
      </c>
      <c r="BX81" s="92">
        <v>1</v>
      </c>
      <c r="BY81" s="92">
        <v>0.48437024873806472</v>
      </c>
      <c r="BZ81" s="92">
        <v>0.48437024873806472</v>
      </c>
      <c r="CA81" s="92">
        <v>1</v>
      </c>
      <c r="CB81" s="92">
        <v>0.48437024873806472</v>
      </c>
      <c r="CC81" s="92">
        <v>0.48437024873806472</v>
      </c>
      <c r="CD81" s="92">
        <v>1</v>
      </c>
      <c r="CE81" s="92">
        <v>0.48437024873806472</v>
      </c>
      <c r="CF81" s="92">
        <v>0.48437024873806472</v>
      </c>
      <c r="CG81" s="92">
        <v>1</v>
      </c>
      <c r="CH81" s="92">
        <v>0.48437024873806472</v>
      </c>
      <c r="CI81" s="92">
        <v>0.48437024873806472</v>
      </c>
      <c r="CJ81" s="92">
        <v>1</v>
      </c>
      <c r="CK81" s="92">
        <v>0.48437024873806472</v>
      </c>
      <c r="CL81" s="92">
        <v>0.48437024873806472</v>
      </c>
      <c r="CM81" s="92">
        <v>1</v>
      </c>
      <c r="CN81" s="92">
        <v>0.48437024873806472</v>
      </c>
      <c r="CO81" s="92">
        <v>0.48437024873806472</v>
      </c>
      <c r="CP81" s="92">
        <v>1</v>
      </c>
      <c r="CQ81" s="92">
        <v>0.48437024873806472</v>
      </c>
      <c r="CR81" s="92">
        <v>0.48437024873806472</v>
      </c>
    </row>
    <row r="82" spans="1:96" x14ac:dyDescent="0.3">
      <c r="A82" s="3" t="str">
        <f>INDEX(Mapping!$Y:$Y,MATCH($C82,Mapping!$W:$W,0))</f>
        <v>Interface</v>
      </c>
      <c r="B82" s="3" t="str">
        <f>INDEX(Mapping!$V:$V,MATCH(C82,Mapping!$W:$W,0))</f>
        <v>SEV</v>
      </c>
      <c r="C82" t="s">
        <v>150</v>
      </c>
      <c r="D82">
        <v>2</v>
      </c>
      <c r="E82" s="20"/>
      <c r="F82" s="76">
        <v>1249.7834066759688</v>
      </c>
      <c r="G82" s="76">
        <v>1348.7299559944188</v>
      </c>
      <c r="H82" s="76">
        <v>1403.2712246431256</v>
      </c>
      <c r="I82" s="76">
        <v>1525.9053343350865</v>
      </c>
      <c r="J82" s="76">
        <v>1348.9752066115702</v>
      </c>
      <c r="K82" s="76">
        <v>1558.4562320411394</v>
      </c>
      <c r="L82" s="76">
        <v>1624.5757125710616</v>
      </c>
      <c r="M82" s="76">
        <v>1692.471627464364</v>
      </c>
      <c r="N82" s="76">
        <v>1760.9210621916773</v>
      </c>
      <c r="O82" s="76">
        <v>1830.5480673464424</v>
      </c>
      <c r="P82" s="76">
        <v>1900.7179973735697</v>
      </c>
      <c r="Q82" s="76">
        <v>1969.9347314200661</v>
      </c>
      <c r="R82" s="76">
        <v>2038.4726202963855</v>
      </c>
      <c r="S82" s="76">
        <v>2107.6287361920913</v>
      </c>
      <c r="T82" s="76">
        <v>2172.4562467395381</v>
      </c>
      <c r="U82" s="76">
        <v>2235.2040852407636</v>
      </c>
      <c r="V82" s="76">
        <v>2297.2799745494767</v>
      </c>
      <c r="AX82" s="3" t="s">
        <v>222</v>
      </c>
      <c r="AY82" t="s">
        <v>145</v>
      </c>
      <c r="AZ82" s="92">
        <v>1</v>
      </c>
      <c r="BA82" s="92">
        <v>0.15535608601302031</v>
      </c>
      <c r="BB82" s="92">
        <v>0</v>
      </c>
      <c r="BC82" s="92">
        <v>1</v>
      </c>
      <c r="BD82" s="92">
        <v>0.23106135332412706</v>
      </c>
      <c r="BE82" s="92">
        <v>0.11553067666206353</v>
      </c>
      <c r="BF82" s="92">
        <v>1</v>
      </c>
      <c r="BG82" s="92">
        <v>0.23106135332412706</v>
      </c>
      <c r="BH82" s="92">
        <v>0.23106135332412706</v>
      </c>
      <c r="BI82" s="92">
        <v>1</v>
      </c>
      <c r="BJ82" s="92">
        <v>0.23106135332412706</v>
      </c>
      <c r="BK82" s="92">
        <v>0.23106135332412706</v>
      </c>
      <c r="BL82" s="92">
        <v>1</v>
      </c>
      <c r="BM82" s="92">
        <v>0.23106135332412706</v>
      </c>
      <c r="BN82" s="92">
        <v>0.23106135332412706</v>
      </c>
      <c r="BO82" s="92">
        <v>1</v>
      </c>
      <c r="BP82" s="92">
        <v>0.23106135332412706</v>
      </c>
      <c r="BQ82" s="92">
        <v>0.23106135332412706</v>
      </c>
      <c r="BR82" s="92">
        <v>1</v>
      </c>
      <c r="BS82" s="92">
        <v>0.23106135332412706</v>
      </c>
      <c r="BT82" s="92">
        <v>0.23106135332412706</v>
      </c>
      <c r="BU82" s="92">
        <v>1</v>
      </c>
      <c r="BV82" s="92">
        <v>0.23106135332412706</v>
      </c>
      <c r="BW82" s="92">
        <v>0.23106135332412706</v>
      </c>
      <c r="BX82" s="92">
        <v>1</v>
      </c>
      <c r="BY82" s="92">
        <v>0.23106135332412706</v>
      </c>
      <c r="BZ82" s="92">
        <v>0.23106135332412706</v>
      </c>
      <c r="CA82" s="92">
        <v>1</v>
      </c>
      <c r="CB82" s="92">
        <v>0.23106135332412706</v>
      </c>
      <c r="CC82" s="92">
        <v>0.23106135332412706</v>
      </c>
      <c r="CD82" s="92">
        <v>1</v>
      </c>
      <c r="CE82" s="92">
        <v>0.23106135332412706</v>
      </c>
      <c r="CF82" s="92">
        <v>0.23106135332412706</v>
      </c>
      <c r="CG82" s="92">
        <v>1</v>
      </c>
      <c r="CH82" s="92">
        <v>0.23106135332412706</v>
      </c>
      <c r="CI82" s="92">
        <v>0.23106135332412706</v>
      </c>
      <c r="CJ82" s="92">
        <v>1</v>
      </c>
      <c r="CK82" s="92">
        <v>0.23106135332412706</v>
      </c>
      <c r="CL82" s="92">
        <v>0.23106135332412706</v>
      </c>
      <c r="CM82" s="92">
        <v>1</v>
      </c>
      <c r="CN82" s="92">
        <v>0.23106135332412706</v>
      </c>
      <c r="CO82" s="92">
        <v>0.23106135332412706</v>
      </c>
      <c r="CP82" s="92">
        <v>1</v>
      </c>
      <c r="CQ82" s="92">
        <v>0.23106135332412706</v>
      </c>
      <c r="CR82" s="92">
        <v>0.23106135332412706</v>
      </c>
    </row>
    <row r="83" spans="1:96" x14ac:dyDescent="0.3">
      <c r="A83" s="3" t="str">
        <f>INDEX(Mapping!$Y:$Y,MATCH($C83,Mapping!$W:$W,0))</f>
        <v>Interface</v>
      </c>
      <c r="B83" s="3" t="str">
        <f>INDEX(Mapping!$V:$V,MATCH(C83,Mapping!$W:$W,0))</f>
        <v>SEV</v>
      </c>
      <c r="C83" t="s">
        <v>150</v>
      </c>
      <c r="D83">
        <v>3</v>
      </c>
      <c r="E83" s="20"/>
      <c r="F83" s="76">
        <v>1346.4977997209403</v>
      </c>
      <c r="G83" s="76">
        <v>1453.1013201674359</v>
      </c>
      <c r="H83" s="76">
        <v>1511.8632607062359</v>
      </c>
      <c r="I83" s="76">
        <v>1403.2712246431256</v>
      </c>
      <c r="J83" s="76">
        <v>1525.9053343350865</v>
      </c>
      <c r="K83" s="76">
        <v>1348.9752066115702</v>
      </c>
      <c r="L83" s="76">
        <v>1558.4562320411394</v>
      </c>
      <c r="M83" s="76">
        <v>1624.5757125710616</v>
      </c>
      <c r="N83" s="76">
        <v>1692.471627464364</v>
      </c>
      <c r="O83" s="76">
        <v>1760.9210621916773</v>
      </c>
      <c r="P83" s="76">
        <v>1830.5480673464424</v>
      </c>
      <c r="Q83" s="76">
        <v>1900.7179973735697</v>
      </c>
      <c r="R83" s="76">
        <v>1969.9347314200661</v>
      </c>
      <c r="S83" s="76">
        <v>2038.4726202963855</v>
      </c>
      <c r="T83" s="76">
        <v>2107.6287361920913</v>
      </c>
      <c r="U83" s="76">
        <v>2172.4562467395381</v>
      </c>
      <c r="V83" s="76">
        <v>2235.2040852407636</v>
      </c>
      <c r="AX83" s="3" t="s">
        <v>221</v>
      </c>
      <c r="AY83" t="s">
        <v>128</v>
      </c>
      <c r="AZ83" s="92">
        <v>0.99999999999999978</v>
      </c>
      <c r="BA83" s="92">
        <v>1.0837887067395262</v>
      </c>
      <c r="BB83" s="92">
        <v>0</v>
      </c>
      <c r="BC83" s="92">
        <v>0.99999999999999978</v>
      </c>
      <c r="BD83" s="92">
        <v>1.6119206638332317</v>
      </c>
      <c r="BE83" s="92">
        <v>0.80596033191661587</v>
      </c>
      <c r="BF83" s="92">
        <v>0.99999999999999978</v>
      </c>
      <c r="BG83" s="92">
        <v>1.6119206638332317</v>
      </c>
      <c r="BH83" s="92">
        <v>1.6119206638332317</v>
      </c>
      <c r="BI83" s="92">
        <v>0.99999999999999978</v>
      </c>
      <c r="BJ83" s="92">
        <v>1.6119206638332317</v>
      </c>
      <c r="BK83" s="92">
        <v>1.6119206638332317</v>
      </c>
      <c r="BL83" s="92">
        <v>0.99999999999999978</v>
      </c>
      <c r="BM83" s="92">
        <v>1.6119206638332317</v>
      </c>
      <c r="BN83" s="92">
        <v>1.6119206638332317</v>
      </c>
      <c r="BO83" s="92">
        <v>0.99999999999999978</v>
      </c>
      <c r="BP83" s="92">
        <v>1.6119206638332317</v>
      </c>
      <c r="BQ83" s="92">
        <v>1.6119206638332317</v>
      </c>
      <c r="BR83" s="92">
        <v>0.99999999999999978</v>
      </c>
      <c r="BS83" s="92">
        <v>1.6119206638332317</v>
      </c>
      <c r="BT83" s="92">
        <v>1.6119206638332317</v>
      </c>
      <c r="BU83" s="92">
        <v>0.99999999999999978</v>
      </c>
      <c r="BV83" s="92">
        <v>1.6119206638332317</v>
      </c>
      <c r="BW83" s="92">
        <v>1.6119206638332317</v>
      </c>
      <c r="BX83" s="92">
        <v>0.99999999999999978</v>
      </c>
      <c r="BY83" s="92">
        <v>1.6119206638332317</v>
      </c>
      <c r="BZ83" s="92">
        <v>1.6119206638332317</v>
      </c>
      <c r="CA83" s="92">
        <v>0.99999999999999978</v>
      </c>
      <c r="CB83" s="92">
        <v>1.6119206638332317</v>
      </c>
      <c r="CC83" s="92">
        <v>1.6119206638332317</v>
      </c>
      <c r="CD83" s="92">
        <v>0.99999999999999978</v>
      </c>
      <c r="CE83" s="92">
        <v>1.6119206638332317</v>
      </c>
      <c r="CF83" s="92">
        <v>1.6119206638332317</v>
      </c>
      <c r="CG83" s="92">
        <v>0.99999999999999978</v>
      </c>
      <c r="CH83" s="92">
        <v>1.6119206638332317</v>
      </c>
      <c r="CI83" s="92">
        <v>1.6119206638332317</v>
      </c>
      <c r="CJ83" s="92">
        <v>0.99999999999999978</v>
      </c>
      <c r="CK83" s="92">
        <v>1.6119206638332317</v>
      </c>
      <c r="CL83" s="92">
        <v>1.6119206638332317</v>
      </c>
      <c r="CM83" s="92">
        <v>0.99999999999999978</v>
      </c>
      <c r="CN83" s="92">
        <v>1.6119206638332317</v>
      </c>
      <c r="CO83" s="92">
        <v>1.6119206638332317</v>
      </c>
      <c r="CP83" s="92">
        <v>0.99999999999999978</v>
      </c>
      <c r="CQ83" s="92">
        <v>1.6119206638332317</v>
      </c>
      <c r="CR83" s="92">
        <v>1.6119206638332317</v>
      </c>
    </row>
    <row r="84" spans="1:96" x14ac:dyDescent="0.3">
      <c r="A84" s="3" t="str">
        <f>INDEX(Mapping!$Y:$Y,MATCH($C84,Mapping!$W:$W,0))</f>
        <v>Interface</v>
      </c>
      <c r="B84" s="3" t="str">
        <f>INDEX(Mapping!$V:$V,MATCH(C84,Mapping!$W:$W,0))</f>
        <v>SEV</v>
      </c>
      <c r="C84" t="s">
        <v>150</v>
      </c>
      <c r="D84">
        <v>4</v>
      </c>
      <c r="E84" s="20"/>
      <c r="F84" s="76">
        <v>1358.1702264677472</v>
      </c>
      <c r="G84" s="76">
        <v>1465.6978641193516</v>
      </c>
      <c r="H84" s="76">
        <v>1524.969196093163</v>
      </c>
      <c r="I84" s="76">
        <v>1511.8632607062359</v>
      </c>
      <c r="J84" s="76">
        <v>1403.2712246431256</v>
      </c>
      <c r="K84" s="76">
        <v>1525.9053343350865</v>
      </c>
      <c r="L84" s="76">
        <v>1348.9752066115702</v>
      </c>
      <c r="M84" s="76">
        <v>1558.4562320411394</v>
      </c>
      <c r="N84" s="76">
        <v>1624.5757125710616</v>
      </c>
      <c r="O84" s="76">
        <v>1692.471627464364</v>
      </c>
      <c r="P84" s="76">
        <v>1760.9210621916773</v>
      </c>
      <c r="Q84" s="76">
        <v>1830.5480673464424</v>
      </c>
      <c r="R84" s="76">
        <v>1900.7179973735697</v>
      </c>
      <c r="S84" s="76">
        <v>1969.9347314200661</v>
      </c>
      <c r="T84" s="76">
        <v>2038.4726202963855</v>
      </c>
      <c r="U84" s="76">
        <v>2107.6287361920913</v>
      </c>
      <c r="V84" s="76">
        <v>2172.4562467395381</v>
      </c>
      <c r="AX84" s="3" t="s">
        <v>222</v>
      </c>
      <c r="AY84" t="s">
        <v>188</v>
      </c>
      <c r="AZ84" s="92">
        <v>0.99999999999999978</v>
      </c>
      <c r="BA84" s="92">
        <v>0.11378413524057217</v>
      </c>
      <c r="BB84" s="92">
        <v>0</v>
      </c>
      <c r="BC84" s="92">
        <v>0.99999999999999978</v>
      </c>
      <c r="BD84" s="92">
        <v>0.16923132495304144</v>
      </c>
      <c r="BE84" s="92">
        <v>8.461566247652072E-2</v>
      </c>
      <c r="BF84" s="92">
        <v>0.99999999999999978</v>
      </c>
      <c r="BG84" s="92">
        <v>0.16923132495304144</v>
      </c>
      <c r="BH84" s="92">
        <v>0.16923132495304144</v>
      </c>
      <c r="BI84" s="92">
        <v>0.99999999999999978</v>
      </c>
      <c r="BJ84" s="92">
        <v>0.16923132495304144</v>
      </c>
      <c r="BK84" s="92">
        <v>0.16923132495304144</v>
      </c>
      <c r="BL84" s="92">
        <v>0.99999999999999978</v>
      </c>
      <c r="BM84" s="92">
        <v>0.16923132495304144</v>
      </c>
      <c r="BN84" s="92">
        <v>0.16923132495304144</v>
      </c>
      <c r="BO84" s="92">
        <v>0.99999999999999978</v>
      </c>
      <c r="BP84" s="92">
        <v>0.16923132495304144</v>
      </c>
      <c r="BQ84" s="92">
        <v>0.16923132495304144</v>
      </c>
      <c r="BR84" s="92">
        <v>0.99999999999999978</v>
      </c>
      <c r="BS84" s="92">
        <v>0.16923132495304144</v>
      </c>
      <c r="BT84" s="92">
        <v>0.16923132495304144</v>
      </c>
      <c r="BU84" s="92">
        <v>0.99999999999999978</v>
      </c>
      <c r="BV84" s="92">
        <v>0.16923132495304144</v>
      </c>
      <c r="BW84" s="92">
        <v>0.16923132495304144</v>
      </c>
      <c r="BX84" s="92">
        <v>0.99999999999999978</v>
      </c>
      <c r="BY84" s="92">
        <v>0.16923132495304144</v>
      </c>
      <c r="BZ84" s="92">
        <v>0.16923132495304144</v>
      </c>
      <c r="CA84" s="92">
        <v>0.99999999999999978</v>
      </c>
      <c r="CB84" s="92">
        <v>0.16923132495304144</v>
      </c>
      <c r="CC84" s="92">
        <v>0.16923132495304144</v>
      </c>
      <c r="CD84" s="92">
        <v>0.99999999999999978</v>
      </c>
      <c r="CE84" s="92">
        <v>0.16923132495304144</v>
      </c>
      <c r="CF84" s="92">
        <v>0.16923132495304144</v>
      </c>
      <c r="CG84" s="92">
        <v>0.99999999999999978</v>
      </c>
      <c r="CH84" s="92">
        <v>0.16923132495304144</v>
      </c>
      <c r="CI84" s="92">
        <v>0.16923132495304144</v>
      </c>
      <c r="CJ84" s="92">
        <v>0.99999999999999978</v>
      </c>
      <c r="CK84" s="92">
        <v>0.16923132495304144</v>
      </c>
      <c r="CL84" s="92">
        <v>0.16923132495304144</v>
      </c>
      <c r="CM84" s="92">
        <v>0.99999999999999978</v>
      </c>
      <c r="CN84" s="92">
        <v>0.16923132495304144</v>
      </c>
      <c r="CO84" s="92">
        <v>0.16923132495304144</v>
      </c>
      <c r="CP84" s="92">
        <v>0.99999999999999978</v>
      </c>
      <c r="CQ84" s="92">
        <v>0.16923132495304144</v>
      </c>
      <c r="CR84" s="92">
        <v>0.16923132495304144</v>
      </c>
    </row>
    <row r="85" spans="1:96" x14ac:dyDescent="0.3">
      <c r="A85" s="3" t="str">
        <f>INDEX(Mapping!$Y:$Y,MATCH($C85,Mapping!$W:$W,0))</f>
        <v>Interface</v>
      </c>
      <c r="B85" s="3" t="str">
        <f>INDEX(Mapping!$V:$V,MATCH(C85,Mapping!$W:$W,0))</f>
        <v>SEV</v>
      </c>
      <c r="C85" t="s">
        <v>150</v>
      </c>
      <c r="D85">
        <v>5</v>
      </c>
      <c r="E85" s="20"/>
      <c r="F85" s="76">
        <v>1159.8765697112804</v>
      </c>
      <c r="G85" s="76">
        <v>1229.5659547064506</v>
      </c>
      <c r="H85" s="76">
        <v>1299.2553397016206</v>
      </c>
      <c r="I85" s="76">
        <v>1524.969196093163</v>
      </c>
      <c r="J85" s="76">
        <v>1511.8632607062359</v>
      </c>
      <c r="K85" s="76">
        <v>1403.2712246431256</v>
      </c>
      <c r="L85" s="76">
        <v>1525.9053343350865</v>
      </c>
      <c r="M85" s="76">
        <v>1348.9752066115702</v>
      </c>
      <c r="N85" s="76">
        <v>1558.4562320411394</v>
      </c>
      <c r="O85" s="76">
        <v>1624.5757125710616</v>
      </c>
      <c r="P85" s="76">
        <v>1692.471627464364</v>
      </c>
      <c r="Q85" s="76">
        <v>1760.9210621916773</v>
      </c>
      <c r="R85" s="76">
        <v>1830.5480673464424</v>
      </c>
      <c r="S85" s="76">
        <v>1900.7179973735697</v>
      </c>
      <c r="T85" s="76">
        <v>1969.9347314200661</v>
      </c>
      <c r="U85" s="76">
        <v>2038.4726202963855</v>
      </c>
      <c r="V85" s="76">
        <v>2107.6287361920913</v>
      </c>
      <c r="AX85" s="3" t="s">
        <v>221</v>
      </c>
      <c r="AY85" t="s">
        <v>146</v>
      </c>
      <c r="AZ85" s="92">
        <v>0.99999999999999967</v>
      </c>
      <c r="BA85" s="92">
        <v>0.56185080264400367</v>
      </c>
      <c r="BB85" s="92">
        <v>0</v>
      </c>
      <c r="BC85" s="92">
        <v>0.99999999999999967</v>
      </c>
      <c r="BD85" s="92">
        <v>0.83564159059909748</v>
      </c>
      <c r="BE85" s="92">
        <v>0.41782079529954874</v>
      </c>
      <c r="BF85" s="92">
        <v>0.99999999999999967</v>
      </c>
      <c r="BG85" s="92">
        <v>0.83564159059909748</v>
      </c>
      <c r="BH85" s="92">
        <v>0.83564159059909748</v>
      </c>
      <c r="BI85" s="92">
        <v>0.99999999999999967</v>
      </c>
      <c r="BJ85" s="92">
        <v>0.83564159059909748</v>
      </c>
      <c r="BK85" s="92">
        <v>0.83564159059909748</v>
      </c>
      <c r="BL85" s="92">
        <v>0.99999999999999967</v>
      </c>
      <c r="BM85" s="92">
        <v>0.83564159059909748</v>
      </c>
      <c r="BN85" s="92">
        <v>0.83564159059909748</v>
      </c>
      <c r="BO85" s="92">
        <v>0.99999999999999967</v>
      </c>
      <c r="BP85" s="92">
        <v>0.83564159059909748</v>
      </c>
      <c r="BQ85" s="92">
        <v>0.83564159059909748</v>
      </c>
      <c r="BR85" s="92">
        <v>0.99999999999999967</v>
      </c>
      <c r="BS85" s="92">
        <v>0.83564159059909748</v>
      </c>
      <c r="BT85" s="92">
        <v>0.83564159059909748</v>
      </c>
      <c r="BU85" s="92">
        <v>0.99999999999999967</v>
      </c>
      <c r="BV85" s="92">
        <v>0.83564159059909748</v>
      </c>
      <c r="BW85" s="92">
        <v>0.83564159059909748</v>
      </c>
      <c r="BX85" s="92">
        <v>0.99999999999999967</v>
      </c>
      <c r="BY85" s="92">
        <v>0.83564159059909748</v>
      </c>
      <c r="BZ85" s="92">
        <v>0.83564159059909748</v>
      </c>
      <c r="CA85" s="92">
        <v>0.99999999999999967</v>
      </c>
      <c r="CB85" s="92">
        <v>0.83564159059909748</v>
      </c>
      <c r="CC85" s="92">
        <v>0.83564159059909748</v>
      </c>
      <c r="CD85" s="92">
        <v>0.99999999999999967</v>
      </c>
      <c r="CE85" s="92">
        <v>0.83564159059909748</v>
      </c>
      <c r="CF85" s="92">
        <v>0.83564159059909748</v>
      </c>
      <c r="CG85" s="92">
        <v>0.99999999999999967</v>
      </c>
      <c r="CH85" s="92">
        <v>0.83564159059909748</v>
      </c>
      <c r="CI85" s="92">
        <v>0.83564159059909748</v>
      </c>
      <c r="CJ85" s="92">
        <v>0.99999999999999967</v>
      </c>
      <c r="CK85" s="92">
        <v>0.83564159059909748</v>
      </c>
      <c r="CL85" s="92">
        <v>0.83564159059909748</v>
      </c>
      <c r="CM85" s="92">
        <v>0.99999999999999967</v>
      </c>
      <c r="CN85" s="92">
        <v>0.83564159059909748</v>
      </c>
      <c r="CO85" s="92">
        <v>0.83564159059909748</v>
      </c>
      <c r="CP85" s="92">
        <v>0.99999999999999967</v>
      </c>
      <c r="CQ85" s="92">
        <v>0.83564159059909748</v>
      </c>
      <c r="CR85" s="92">
        <v>0.83564159059909748</v>
      </c>
    </row>
    <row r="86" spans="1:96" x14ac:dyDescent="0.3">
      <c r="A86" s="3" t="str">
        <f>INDEX(Mapping!$Y:$Y,MATCH($C86,Mapping!$W:$W,0))</f>
        <v>Interface</v>
      </c>
      <c r="B86" s="3" t="str">
        <f>INDEX(Mapping!$V:$V,MATCH(C86,Mapping!$W:$W,0))</f>
        <v>SEV</v>
      </c>
      <c r="C86" t="s">
        <v>151</v>
      </c>
      <c r="D86">
        <v>0</v>
      </c>
      <c r="E86" s="20"/>
      <c r="F86" s="76">
        <v>3776.7561121469025</v>
      </c>
      <c r="G86" s="76">
        <v>4024.7903753473806</v>
      </c>
      <c r="H86" s="76">
        <v>4200.7841136947263</v>
      </c>
      <c r="I86" s="76">
        <v>4548.9925307959265</v>
      </c>
      <c r="J86" s="76">
        <v>4692.1841580935397</v>
      </c>
      <c r="K86" s="76">
        <v>4837.7624213892341</v>
      </c>
      <c r="L86" s="76">
        <v>4979.702534340835</v>
      </c>
      <c r="M86" s="76">
        <v>5117.7398919448315</v>
      </c>
      <c r="N86" s="76">
        <v>5252.459093548011</v>
      </c>
      <c r="O86" s="76">
        <v>5387.4939548746715</v>
      </c>
      <c r="P86" s="76">
        <v>5517.6587762445015</v>
      </c>
      <c r="Q86" s="76">
        <v>5647.6624997153685</v>
      </c>
      <c r="R86" s="76">
        <v>5771.8197492855161</v>
      </c>
      <c r="S86" s="76">
        <v>5894.6467552733438</v>
      </c>
      <c r="T86" s="76">
        <v>6014.8400752862344</v>
      </c>
      <c r="U86" s="76">
        <v>6130.3897192828499</v>
      </c>
      <c r="V86" s="76">
        <v>6239.9874775928556</v>
      </c>
      <c r="AX86" s="3" t="s">
        <v>222</v>
      </c>
      <c r="AY86" t="s">
        <v>129</v>
      </c>
      <c r="AZ86" s="92">
        <v>0.99999999999999978</v>
      </c>
      <c r="BA86" s="92">
        <v>0.2951096121416526</v>
      </c>
      <c r="BB86" s="92">
        <v>0</v>
      </c>
      <c r="BC86" s="92">
        <v>0.99999999999999978</v>
      </c>
      <c r="BD86" s="92">
        <v>0.43891699456623573</v>
      </c>
      <c r="BE86" s="92">
        <v>0.21945849728311786</v>
      </c>
      <c r="BF86" s="92">
        <v>0.99999999999999978</v>
      </c>
      <c r="BG86" s="92">
        <v>0.43891699456623573</v>
      </c>
      <c r="BH86" s="92">
        <v>0.43891699456623573</v>
      </c>
      <c r="BI86" s="92">
        <v>0.99999999999999978</v>
      </c>
      <c r="BJ86" s="92">
        <v>0.43891699456623573</v>
      </c>
      <c r="BK86" s="92">
        <v>0.43891699456623573</v>
      </c>
      <c r="BL86" s="92">
        <v>0.99999999999999978</v>
      </c>
      <c r="BM86" s="92">
        <v>0.43891699456623573</v>
      </c>
      <c r="BN86" s="92">
        <v>0.43891699456623573</v>
      </c>
      <c r="BO86" s="92">
        <v>0.99999999999999978</v>
      </c>
      <c r="BP86" s="92">
        <v>0.43891699456623573</v>
      </c>
      <c r="BQ86" s="92">
        <v>0.43891699456623573</v>
      </c>
      <c r="BR86" s="92">
        <v>0.99999999999999978</v>
      </c>
      <c r="BS86" s="92">
        <v>0.43891699456623573</v>
      </c>
      <c r="BT86" s="92">
        <v>0.43891699456623573</v>
      </c>
      <c r="BU86" s="92">
        <v>0.99999999999999978</v>
      </c>
      <c r="BV86" s="92">
        <v>0.43891699456623573</v>
      </c>
      <c r="BW86" s="92">
        <v>0.43891699456623573</v>
      </c>
      <c r="BX86" s="92">
        <v>0.99999999999999978</v>
      </c>
      <c r="BY86" s="92">
        <v>0.43891699456623573</v>
      </c>
      <c r="BZ86" s="92">
        <v>0.43891699456623573</v>
      </c>
      <c r="CA86" s="92">
        <v>0.99999999999999978</v>
      </c>
      <c r="CB86" s="92">
        <v>0.43891699456623573</v>
      </c>
      <c r="CC86" s="92">
        <v>0.43891699456623573</v>
      </c>
      <c r="CD86" s="92">
        <v>0.99999999999999978</v>
      </c>
      <c r="CE86" s="92">
        <v>0.43891699456623573</v>
      </c>
      <c r="CF86" s="92">
        <v>0.43891699456623573</v>
      </c>
      <c r="CG86" s="92">
        <v>0.99999999999999978</v>
      </c>
      <c r="CH86" s="92">
        <v>0.43891699456623573</v>
      </c>
      <c r="CI86" s="92">
        <v>0.43891699456623573</v>
      </c>
      <c r="CJ86" s="92">
        <v>0.99999999999999978</v>
      </c>
      <c r="CK86" s="92">
        <v>0.43891699456623573</v>
      </c>
      <c r="CL86" s="92">
        <v>0.43891699456623573</v>
      </c>
      <c r="CM86" s="92">
        <v>0.99999999999999978</v>
      </c>
      <c r="CN86" s="92">
        <v>0.43891699456623573</v>
      </c>
      <c r="CO86" s="92">
        <v>0.43891699456623573</v>
      </c>
      <c r="CP86" s="92">
        <v>0.99999999999999978</v>
      </c>
      <c r="CQ86" s="92">
        <v>0.43891699456623573</v>
      </c>
      <c r="CR86" s="92">
        <v>0.43891699456623573</v>
      </c>
    </row>
    <row r="87" spans="1:96" x14ac:dyDescent="0.3">
      <c r="A87" s="3" t="str">
        <f>INDEX(Mapping!$Y:$Y,MATCH($C87,Mapping!$W:$W,0))</f>
        <v>Interface</v>
      </c>
      <c r="B87" s="3" t="str">
        <f>INDEX(Mapping!$V:$V,MATCH(C87,Mapping!$W:$W,0))</f>
        <v>SEV</v>
      </c>
      <c r="C87" t="s">
        <v>151</v>
      </c>
      <c r="D87">
        <v>1</v>
      </c>
      <c r="E87" s="20"/>
      <c r="F87" s="76">
        <v>4029.0444295915854</v>
      </c>
      <c r="G87" s="76">
        <v>4293.6474478488763</v>
      </c>
      <c r="H87" s="76">
        <v>4481.3976149435393</v>
      </c>
      <c r="I87" s="76">
        <v>4200.7841136947263</v>
      </c>
      <c r="J87" s="76">
        <v>4548.9925307959265</v>
      </c>
      <c r="K87" s="76">
        <v>4692.1841580935397</v>
      </c>
      <c r="L87" s="76">
        <v>4837.7624213892341</v>
      </c>
      <c r="M87" s="76">
        <v>4979.702534340835</v>
      </c>
      <c r="N87" s="76">
        <v>5117.7398919448315</v>
      </c>
      <c r="O87" s="76">
        <v>5252.459093548011</v>
      </c>
      <c r="P87" s="76">
        <v>5387.4939548746715</v>
      </c>
      <c r="Q87" s="76">
        <v>5517.6587762445015</v>
      </c>
      <c r="R87" s="76">
        <v>5647.6624997153685</v>
      </c>
      <c r="S87" s="76">
        <v>5771.8197492855161</v>
      </c>
      <c r="T87" s="76">
        <v>5894.6467552733438</v>
      </c>
      <c r="U87" s="76">
        <v>6014.8400752862344</v>
      </c>
      <c r="V87" s="76">
        <v>6130.3897192828499</v>
      </c>
      <c r="AX87" s="3" t="s">
        <v>221</v>
      </c>
      <c r="AY87" t="s">
        <v>189</v>
      </c>
      <c r="AZ87" s="92">
        <v>1</v>
      </c>
      <c r="BA87" s="92">
        <v>8.9249999999999989</v>
      </c>
      <c r="BB87" s="92">
        <v>0</v>
      </c>
      <c r="BC87" s="92">
        <v>1</v>
      </c>
      <c r="BD87" s="92">
        <v>13.274166666666664</v>
      </c>
      <c r="BE87" s="92">
        <v>6.6370833333333321</v>
      </c>
      <c r="BF87" s="92">
        <v>1</v>
      </c>
      <c r="BG87" s="92">
        <v>13.274166666666664</v>
      </c>
      <c r="BH87" s="92">
        <v>13.274166666666664</v>
      </c>
      <c r="BI87" s="92">
        <v>1</v>
      </c>
      <c r="BJ87" s="92">
        <v>13.274166666666664</v>
      </c>
      <c r="BK87" s="92">
        <v>13.274166666666664</v>
      </c>
      <c r="BL87" s="92">
        <v>1</v>
      </c>
      <c r="BM87" s="92">
        <v>13.274166666666664</v>
      </c>
      <c r="BN87" s="92">
        <v>13.274166666666664</v>
      </c>
      <c r="BO87" s="92">
        <v>1</v>
      </c>
      <c r="BP87" s="92">
        <v>13.274166666666664</v>
      </c>
      <c r="BQ87" s="92">
        <v>13.274166666666664</v>
      </c>
      <c r="BR87" s="92">
        <v>1</v>
      </c>
      <c r="BS87" s="92">
        <v>13.274166666666664</v>
      </c>
      <c r="BT87" s="92">
        <v>13.274166666666664</v>
      </c>
      <c r="BU87" s="92">
        <v>1</v>
      </c>
      <c r="BV87" s="92">
        <v>13.274166666666664</v>
      </c>
      <c r="BW87" s="92">
        <v>13.274166666666664</v>
      </c>
      <c r="BX87" s="92">
        <v>1</v>
      </c>
      <c r="BY87" s="92">
        <v>13.274166666666664</v>
      </c>
      <c r="BZ87" s="92">
        <v>13.274166666666664</v>
      </c>
      <c r="CA87" s="92">
        <v>1</v>
      </c>
      <c r="CB87" s="92">
        <v>13.274166666666664</v>
      </c>
      <c r="CC87" s="92">
        <v>13.274166666666664</v>
      </c>
      <c r="CD87" s="92">
        <v>1</v>
      </c>
      <c r="CE87" s="92">
        <v>13.274166666666664</v>
      </c>
      <c r="CF87" s="92">
        <v>13.274166666666664</v>
      </c>
      <c r="CG87" s="92">
        <v>1</v>
      </c>
      <c r="CH87" s="92">
        <v>13.274166666666664</v>
      </c>
      <c r="CI87" s="92">
        <v>13.274166666666664</v>
      </c>
      <c r="CJ87" s="92">
        <v>1</v>
      </c>
      <c r="CK87" s="92">
        <v>13.274166666666664</v>
      </c>
      <c r="CL87" s="92">
        <v>13.274166666666664</v>
      </c>
      <c r="CM87" s="92">
        <v>1</v>
      </c>
      <c r="CN87" s="92">
        <v>13.274166666666664</v>
      </c>
      <c r="CO87" s="92">
        <v>13.274166666666664</v>
      </c>
      <c r="CP87" s="92">
        <v>1</v>
      </c>
      <c r="CQ87" s="92">
        <v>13.274166666666664</v>
      </c>
      <c r="CR87" s="92">
        <v>13.274166666666664</v>
      </c>
    </row>
    <row r="88" spans="1:96" x14ac:dyDescent="0.3">
      <c r="A88" s="3" t="str">
        <f>INDEX(Mapping!$Y:$Y,MATCH($C88,Mapping!$W:$W,0))</f>
        <v>Interface</v>
      </c>
      <c r="B88" s="3" t="str">
        <f>INDEX(Mapping!$V:$V,MATCH(C88,Mapping!$W:$W,0))</f>
        <v>SEV</v>
      </c>
      <c r="C88" t="s">
        <v>151</v>
      </c>
      <c r="D88">
        <v>2</v>
      </c>
      <c r="E88" s="20"/>
      <c r="F88" s="76">
        <v>3985.3144545678401</v>
      </c>
      <c r="G88" s="76">
        <v>4247.0455552819503</v>
      </c>
      <c r="H88" s="76">
        <v>4432.7579413937447</v>
      </c>
      <c r="I88" s="76">
        <v>4481.3976149435393</v>
      </c>
      <c r="J88" s="76">
        <v>4200.7841136947263</v>
      </c>
      <c r="K88" s="76">
        <v>4548.9925307959265</v>
      </c>
      <c r="L88" s="76">
        <v>4692.1841580935397</v>
      </c>
      <c r="M88" s="76">
        <v>4837.7624213892341</v>
      </c>
      <c r="N88" s="76">
        <v>4979.702534340835</v>
      </c>
      <c r="O88" s="76">
        <v>5117.7398919448315</v>
      </c>
      <c r="P88" s="76">
        <v>5252.459093548011</v>
      </c>
      <c r="Q88" s="76">
        <v>5387.4939548746715</v>
      </c>
      <c r="R88" s="76">
        <v>5517.6587762445015</v>
      </c>
      <c r="S88" s="76">
        <v>5647.6624997153685</v>
      </c>
      <c r="T88" s="76">
        <v>5771.8197492855161</v>
      </c>
      <c r="U88" s="76">
        <v>5894.6467552733438</v>
      </c>
      <c r="V88" s="76">
        <v>6014.8400752862344</v>
      </c>
    </row>
    <row r="89" spans="1:96" x14ac:dyDescent="0.3">
      <c r="A89" s="3" t="str">
        <f>INDEX(Mapping!$Y:$Y,MATCH($C89,Mapping!$W:$W,0))</f>
        <v>Interface</v>
      </c>
      <c r="B89" s="3" t="str">
        <f>INDEX(Mapping!$V:$V,MATCH(C89,Mapping!$W:$W,0))</f>
        <v>SEV</v>
      </c>
      <c r="C89" t="s">
        <v>151</v>
      </c>
      <c r="D89">
        <v>3</v>
      </c>
      <c r="E89" s="20"/>
      <c r="F89" s="76">
        <v>4073.6153656734796</v>
      </c>
      <c r="G89" s="76">
        <v>4341.1455306574735</v>
      </c>
      <c r="H89" s="76">
        <v>4530.9726668308303</v>
      </c>
      <c r="I89" s="76">
        <v>4432.7579413937447</v>
      </c>
      <c r="J89" s="76">
        <v>4481.3976149435393</v>
      </c>
      <c r="K89" s="76">
        <v>4200.7841136947263</v>
      </c>
      <c r="L89" s="76">
        <v>4548.9925307959265</v>
      </c>
      <c r="M89" s="76">
        <v>4692.1841580935397</v>
      </c>
      <c r="N89" s="76">
        <v>4837.7624213892341</v>
      </c>
      <c r="O89" s="76">
        <v>4979.702534340835</v>
      </c>
      <c r="P89" s="76">
        <v>5117.7398919448315</v>
      </c>
      <c r="Q89" s="76">
        <v>5252.459093548011</v>
      </c>
      <c r="R89" s="76">
        <v>5387.4939548746715</v>
      </c>
      <c r="S89" s="76">
        <v>5517.6587762445015</v>
      </c>
      <c r="T89" s="76">
        <v>5647.6624997153685</v>
      </c>
      <c r="U89" s="76">
        <v>5771.8197492855161</v>
      </c>
      <c r="V89" s="76">
        <v>5894.6467552733438</v>
      </c>
    </row>
    <row r="90" spans="1:96" x14ac:dyDescent="0.3">
      <c r="A90" s="3" t="str">
        <f>INDEX(Mapping!$Y:$Y,MATCH($C90,Mapping!$W:$W,0))</f>
        <v>Interface</v>
      </c>
      <c r="B90" s="3" t="str">
        <f>INDEX(Mapping!$V:$V,MATCH(C90,Mapping!$W:$W,0))</f>
        <v>SEV</v>
      </c>
      <c r="C90" t="s">
        <v>151</v>
      </c>
      <c r="D90">
        <v>4</v>
      </c>
      <c r="E90" s="20"/>
      <c r="F90" s="76">
        <v>4131.6416786857571</v>
      </c>
      <c r="G90" s="76">
        <v>4402.9826573328173</v>
      </c>
      <c r="H90" s="76">
        <v>4595.5137721180572</v>
      </c>
      <c r="I90" s="76">
        <v>4530.9726668308303</v>
      </c>
      <c r="J90" s="76">
        <v>4432.7579413937447</v>
      </c>
      <c r="K90" s="76">
        <v>4481.3976149435393</v>
      </c>
      <c r="L90" s="76">
        <v>4200.7841136947263</v>
      </c>
      <c r="M90" s="76">
        <v>4548.9925307959265</v>
      </c>
      <c r="N90" s="76">
        <v>4692.1841580935397</v>
      </c>
      <c r="O90" s="76">
        <v>4837.7624213892341</v>
      </c>
      <c r="P90" s="76">
        <v>4979.702534340835</v>
      </c>
      <c r="Q90" s="76">
        <v>5117.7398919448315</v>
      </c>
      <c r="R90" s="76">
        <v>5252.459093548011</v>
      </c>
      <c r="S90" s="76">
        <v>5387.4939548746715</v>
      </c>
      <c r="T90" s="76">
        <v>5517.6587762445015</v>
      </c>
      <c r="U90" s="76">
        <v>5647.6624997153685</v>
      </c>
      <c r="V90" s="76">
        <v>5771.8197492855161</v>
      </c>
    </row>
    <row r="91" spans="1:96" x14ac:dyDescent="0.3">
      <c r="A91" s="3" t="str">
        <f>INDEX(Mapping!$Y:$Y,MATCH($C91,Mapping!$W:$W,0))</f>
        <v>Interface</v>
      </c>
      <c r="B91" s="3" t="str">
        <f>INDEX(Mapping!$V:$V,MATCH(C91,Mapping!$W:$W,0))</f>
        <v>SEV</v>
      </c>
      <c r="C91" t="s">
        <v>151</v>
      </c>
      <c r="D91">
        <v>5</v>
      </c>
      <c r="E91" s="20"/>
      <c r="F91" s="76">
        <v>3806.596686248989</v>
      </c>
      <c r="G91" s="76">
        <v>3993.6883948358959</v>
      </c>
      <c r="H91" s="76">
        <v>4200.0780244134103</v>
      </c>
      <c r="I91" s="76">
        <v>4595.5137721180572</v>
      </c>
      <c r="J91" s="76">
        <v>4530.9726668308303</v>
      </c>
      <c r="K91" s="76">
        <v>4432.7579413937447</v>
      </c>
      <c r="L91" s="76">
        <v>4481.3976149435393</v>
      </c>
      <c r="M91" s="76">
        <v>4200.7841136947263</v>
      </c>
      <c r="N91" s="76">
        <v>4548.9925307959265</v>
      </c>
      <c r="O91" s="76">
        <v>4692.1841580935397</v>
      </c>
      <c r="P91" s="76">
        <v>4837.7624213892341</v>
      </c>
      <c r="Q91" s="76">
        <v>4979.702534340835</v>
      </c>
      <c r="R91" s="76">
        <v>5117.7398919448315</v>
      </c>
      <c r="S91" s="76">
        <v>5252.459093548011</v>
      </c>
      <c r="T91" s="76">
        <v>5387.4939548746715</v>
      </c>
      <c r="U91" s="76">
        <v>5517.6587762445015</v>
      </c>
      <c r="V91" s="76">
        <v>5647.6624997153685</v>
      </c>
    </row>
    <row r="92" spans="1:96" x14ac:dyDescent="0.3">
      <c r="A92" s="3" t="str">
        <f>INDEX(Mapping!$Y:$Y,MATCH($C92,Mapping!$W:$W,0))</f>
        <v>Rural</v>
      </c>
      <c r="B92" s="3" t="str">
        <f>INDEX(Mapping!$V:$V,MATCH(C92,Mapping!$W:$W,0))</f>
        <v>NWV</v>
      </c>
      <c r="C92" t="s">
        <v>133</v>
      </c>
      <c r="D92">
        <v>0</v>
      </c>
      <c r="E92" s="20"/>
      <c r="F92" s="76">
        <v>91.885474860335194</v>
      </c>
      <c r="G92" s="76">
        <v>91.885474860335194</v>
      </c>
      <c r="H92" s="76">
        <v>89.178770949720658</v>
      </c>
      <c r="I92" s="76">
        <v>94.685396392075518</v>
      </c>
      <c r="J92" s="76">
        <v>94.933716195955498</v>
      </c>
      <c r="K92" s="76">
        <v>95.199398186400217</v>
      </c>
      <c r="L92" s="76">
        <v>95.465860007917257</v>
      </c>
      <c r="M92" s="76">
        <v>95.730857339354216</v>
      </c>
      <c r="N92" s="76">
        <v>96.023829817463081</v>
      </c>
      <c r="O92" s="76">
        <v>96.319372142000205</v>
      </c>
      <c r="P92" s="76">
        <v>96.605141436263963</v>
      </c>
      <c r="Q92" s="76">
        <v>96.88366299323323</v>
      </c>
      <c r="R92" s="76">
        <v>97.183306012891535</v>
      </c>
      <c r="S92" s="76">
        <v>97.481460735034773</v>
      </c>
      <c r="T92" s="76">
        <v>97.766438751090917</v>
      </c>
      <c r="U92" s="76">
        <v>98.03781505660541</v>
      </c>
      <c r="V92" s="76">
        <v>98.293619408371839</v>
      </c>
    </row>
    <row r="93" spans="1:96" x14ac:dyDescent="0.3">
      <c r="A93" s="3" t="str">
        <f>INDEX(Mapping!$Y:$Y,MATCH($C93,Mapping!$W:$W,0))</f>
        <v>Rural</v>
      </c>
      <c r="B93" s="3" t="str">
        <f>INDEX(Mapping!$V:$V,MATCH(C93,Mapping!$W:$W,0))</f>
        <v>NWV</v>
      </c>
      <c r="C93" t="s">
        <v>133</v>
      </c>
      <c r="D93">
        <v>1</v>
      </c>
      <c r="E93" s="20"/>
      <c r="F93" s="76">
        <v>96.389664804469277</v>
      </c>
      <c r="G93" s="76">
        <v>96.389664804469277</v>
      </c>
      <c r="H93" s="76">
        <v>93.550279329608941</v>
      </c>
      <c r="I93" s="76">
        <v>89.178770949720658</v>
      </c>
      <c r="J93" s="76">
        <v>94.685396392075518</v>
      </c>
      <c r="K93" s="76">
        <v>94.933716195955498</v>
      </c>
      <c r="L93" s="76">
        <v>95.199398186400217</v>
      </c>
      <c r="M93" s="76">
        <v>95.465860007917257</v>
      </c>
      <c r="N93" s="76">
        <v>95.730857339354216</v>
      </c>
      <c r="O93" s="76">
        <v>96.023829817463081</v>
      </c>
      <c r="P93" s="76">
        <v>96.319372142000205</v>
      </c>
      <c r="Q93" s="76">
        <v>96.605141436263963</v>
      </c>
      <c r="R93" s="76">
        <v>96.88366299323323</v>
      </c>
      <c r="S93" s="76">
        <v>97.183306012891535</v>
      </c>
      <c r="T93" s="76">
        <v>97.481460735034773</v>
      </c>
      <c r="U93" s="76">
        <v>97.766438751090917</v>
      </c>
      <c r="V93" s="76">
        <v>98.03781505660541</v>
      </c>
    </row>
    <row r="94" spans="1:96" x14ac:dyDescent="0.3">
      <c r="A94" s="3" t="str">
        <f>INDEX(Mapping!$Y:$Y,MATCH($C94,Mapping!$W:$W,0))</f>
        <v>Rural</v>
      </c>
      <c r="B94" s="3" t="str">
        <f>INDEX(Mapping!$V:$V,MATCH(C94,Mapping!$W:$W,0))</f>
        <v>NWV</v>
      </c>
      <c r="C94" t="s">
        <v>133</v>
      </c>
      <c r="D94">
        <v>2</v>
      </c>
      <c r="E94" s="20"/>
      <c r="F94" s="76">
        <v>104.49720670391061</v>
      </c>
      <c r="G94" s="76">
        <v>104.49720670391061</v>
      </c>
      <c r="H94" s="76">
        <v>101.41899441340782</v>
      </c>
      <c r="I94" s="76">
        <v>93.550279329608941</v>
      </c>
      <c r="J94" s="76">
        <v>89.178770949720658</v>
      </c>
      <c r="K94" s="76">
        <v>94.685396392075518</v>
      </c>
      <c r="L94" s="76">
        <v>94.933716195955498</v>
      </c>
      <c r="M94" s="76">
        <v>95.199398186400217</v>
      </c>
      <c r="N94" s="76">
        <v>95.465860007917257</v>
      </c>
      <c r="O94" s="76">
        <v>95.730857339354216</v>
      </c>
      <c r="P94" s="76">
        <v>96.023829817463081</v>
      </c>
      <c r="Q94" s="76">
        <v>96.319372142000205</v>
      </c>
      <c r="R94" s="76">
        <v>96.605141436263963</v>
      </c>
      <c r="S94" s="76">
        <v>96.88366299323323</v>
      </c>
      <c r="T94" s="76">
        <v>97.183306012891535</v>
      </c>
      <c r="U94" s="76">
        <v>97.481460735034773</v>
      </c>
      <c r="V94" s="76">
        <v>97.766438751090917</v>
      </c>
    </row>
    <row r="95" spans="1:96" x14ac:dyDescent="0.3">
      <c r="A95" s="3" t="str">
        <f>INDEX(Mapping!$Y:$Y,MATCH($C95,Mapping!$W:$W,0))</f>
        <v>Rural</v>
      </c>
      <c r="B95" s="3" t="str">
        <f>INDEX(Mapping!$V:$V,MATCH(C95,Mapping!$W:$W,0))</f>
        <v>NWV</v>
      </c>
      <c r="C95" t="s">
        <v>133</v>
      </c>
      <c r="D95">
        <v>3</v>
      </c>
      <c r="E95" s="20"/>
      <c r="F95" s="76">
        <v>108.10055865921787</v>
      </c>
      <c r="G95" s="76">
        <v>108.10055865921787</v>
      </c>
      <c r="H95" s="76">
        <v>104.91620111731842</v>
      </c>
      <c r="I95" s="76">
        <v>101.41899441340782</v>
      </c>
      <c r="J95" s="76">
        <v>93.550279329608941</v>
      </c>
      <c r="K95" s="76">
        <v>89.178770949720658</v>
      </c>
      <c r="L95" s="76">
        <v>94.685396392075518</v>
      </c>
      <c r="M95" s="76">
        <v>94.933716195955498</v>
      </c>
      <c r="N95" s="76">
        <v>95.199398186400217</v>
      </c>
      <c r="O95" s="76">
        <v>95.465860007917257</v>
      </c>
      <c r="P95" s="76">
        <v>95.730857339354216</v>
      </c>
      <c r="Q95" s="76">
        <v>96.023829817463081</v>
      </c>
      <c r="R95" s="76">
        <v>96.319372142000205</v>
      </c>
      <c r="S95" s="76">
        <v>96.605141436263963</v>
      </c>
      <c r="T95" s="76">
        <v>96.88366299323323</v>
      </c>
      <c r="U95" s="76">
        <v>97.183306012891535</v>
      </c>
      <c r="V95" s="76">
        <v>97.481460735034773</v>
      </c>
    </row>
    <row r="96" spans="1:96" x14ac:dyDescent="0.3">
      <c r="A96" s="3" t="str">
        <f>INDEX(Mapping!$Y:$Y,MATCH($C96,Mapping!$W:$W,0))</f>
        <v>Rural</v>
      </c>
      <c r="B96" s="3" t="str">
        <f>INDEX(Mapping!$V:$V,MATCH(C96,Mapping!$W:$W,0))</f>
        <v>NWV</v>
      </c>
      <c r="C96" t="s">
        <v>133</v>
      </c>
      <c r="D96">
        <v>4</v>
      </c>
      <c r="E96" s="20"/>
      <c r="F96" s="76">
        <v>121.61312849162012</v>
      </c>
      <c r="G96" s="76">
        <v>121.61312849162012</v>
      </c>
      <c r="H96" s="76">
        <v>118.03072625698324</v>
      </c>
      <c r="I96" s="76">
        <v>104.91620111731842</v>
      </c>
      <c r="J96" s="76">
        <v>101.41899441340782</v>
      </c>
      <c r="K96" s="76">
        <v>93.550279329608941</v>
      </c>
      <c r="L96" s="76">
        <v>89.178770949720658</v>
      </c>
      <c r="M96" s="76">
        <v>94.685396392075518</v>
      </c>
      <c r="N96" s="76">
        <v>94.933716195955498</v>
      </c>
      <c r="O96" s="76">
        <v>95.199398186400217</v>
      </c>
      <c r="P96" s="76">
        <v>95.465860007917257</v>
      </c>
      <c r="Q96" s="76">
        <v>95.730857339354216</v>
      </c>
      <c r="R96" s="76">
        <v>96.023829817463081</v>
      </c>
      <c r="S96" s="76">
        <v>96.319372142000205</v>
      </c>
      <c r="T96" s="76">
        <v>96.605141436263963</v>
      </c>
      <c r="U96" s="76">
        <v>96.88366299323323</v>
      </c>
      <c r="V96" s="76">
        <v>97.183306012891535</v>
      </c>
    </row>
    <row r="97" spans="1:22" x14ac:dyDescent="0.3">
      <c r="A97" s="3" t="str">
        <f>INDEX(Mapping!$Y:$Y,MATCH($C97,Mapping!$W:$W,0))</f>
        <v>Rural</v>
      </c>
      <c r="B97" s="3" t="str">
        <f>INDEX(Mapping!$V:$V,MATCH(C97,Mapping!$W:$W,0))</f>
        <v>NWV</v>
      </c>
      <c r="C97" t="s">
        <v>133</v>
      </c>
      <c r="D97">
        <v>5</v>
      </c>
      <c r="E97" s="20"/>
      <c r="F97" s="76">
        <v>137.13966480446928</v>
      </c>
      <c r="G97" s="76">
        <v>138.65921787709496</v>
      </c>
      <c r="H97" s="76">
        <v>141.31843575418995</v>
      </c>
      <c r="I97" s="76">
        <v>118.03072625698324</v>
      </c>
      <c r="J97" s="76">
        <v>104.91620111731842</v>
      </c>
      <c r="K97" s="76">
        <v>101.41899441340782</v>
      </c>
      <c r="L97" s="76">
        <v>93.550279329608941</v>
      </c>
      <c r="M97" s="76">
        <v>89.178770949720658</v>
      </c>
      <c r="N97" s="76">
        <v>94.685396392075518</v>
      </c>
      <c r="O97" s="76">
        <v>94.933716195955498</v>
      </c>
      <c r="P97" s="76">
        <v>95.199398186400217</v>
      </c>
      <c r="Q97" s="76">
        <v>95.465860007917257</v>
      </c>
      <c r="R97" s="76">
        <v>95.730857339354216</v>
      </c>
      <c r="S97" s="76">
        <v>96.023829817463081</v>
      </c>
      <c r="T97" s="76">
        <v>96.319372142000205</v>
      </c>
      <c r="U97" s="76">
        <v>96.605141436263963</v>
      </c>
      <c r="V97" s="76">
        <v>96.88366299323323</v>
      </c>
    </row>
    <row r="98" spans="1:22" x14ac:dyDescent="0.3">
      <c r="A98" s="3" t="str">
        <f>INDEX(Mapping!$Y:$Y,MATCH($C98,Mapping!$W:$W,0))</f>
        <v>Rural</v>
      </c>
      <c r="B98" s="3" t="str">
        <f>INDEX(Mapping!$V:$V,MATCH(C98,Mapping!$W:$W,0))</f>
        <v>SWV</v>
      </c>
      <c r="C98" t="s">
        <v>166</v>
      </c>
      <c r="D98">
        <v>0</v>
      </c>
      <c r="E98" s="20"/>
      <c r="F98" s="76">
        <v>201.96205200281096</v>
      </c>
      <c r="G98" s="76">
        <v>197.71187631763877</v>
      </c>
      <c r="H98" s="76">
        <v>198.02670414617006</v>
      </c>
      <c r="I98" s="76">
        <v>200.34861551035752</v>
      </c>
      <c r="J98" s="76">
        <v>199.98982859560428</v>
      </c>
      <c r="K98" s="76">
        <v>199.74861200075054</v>
      </c>
      <c r="L98" s="76">
        <v>199.54650153882886</v>
      </c>
      <c r="M98" s="76">
        <v>199.37872897246547</v>
      </c>
      <c r="N98" s="76">
        <v>199.27749269323488</v>
      </c>
      <c r="O98" s="76">
        <v>199.24190417751987</v>
      </c>
      <c r="P98" s="76">
        <v>199.2447658641905</v>
      </c>
      <c r="Q98" s="76">
        <v>199.30345966409348</v>
      </c>
      <c r="R98" s="76">
        <v>199.40659916057879</v>
      </c>
      <c r="S98" s="76">
        <v>199.5094407624363</v>
      </c>
      <c r="T98" s="76">
        <v>199.61211412216508</v>
      </c>
      <c r="U98" s="76">
        <v>199.71577332400366</v>
      </c>
      <c r="V98" s="76">
        <v>199.81848674992065</v>
      </c>
    </row>
    <row r="99" spans="1:22" x14ac:dyDescent="0.3">
      <c r="A99" s="3" t="str">
        <f>INDEX(Mapping!$Y:$Y,MATCH($C99,Mapping!$W:$W,0))</f>
        <v>Rural</v>
      </c>
      <c r="B99" s="3" t="str">
        <f>INDEX(Mapping!$V:$V,MATCH(C99,Mapping!$W:$W,0))</f>
        <v>SWV</v>
      </c>
      <c r="C99" t="s">
        <v>166</v>
      </c>
      <c r="D99">
        <v>1</v>
      </c>
      <c r="E99" s="20"/>
      <c r="F99" s="76">
        <v>198.35558678847505</v>
      </c>
      <c r="G99" s="76">
        <v>194.18130709768096</v>
      </c>
      <c r="H99" s="76">
        <v>194.49051300070275</v>
      </c>
      <c r="I99" s="76">
        <v>198.02670414617006</v>
      </c>
      <c r="J99" s="76">
        <v>200.34861551035752</v>
      </c>
      <c r="K99" s="76">
        <v>199.98982859560428</v>
      </c>
      <c r="L99" s="76">
        <v>199.74861200075054</v>
      </c>
      <c r="M99" s="76">
        <v>199.54650153882886</v>
      </c>
      <c r="N99" s="76">
        <v>199.37872897246547</v>
      </c>
      <c r="O99" s="76">
        <v>199.27749269323488</v>
      </c>
      <c r="P99" s="76">
        <v>199.24190417751987</v>
      </c>
      <c r="Q99" s="76">
        <v>199.2447658641905</v>
      </c>
      <c r="R99" s="76">
        <v>199.30345966409348</v>
      </c>
      <c r="S99" s="76">
        <v>199.40659916057879</v>
      </c>
      <c r="T99" s="76">
        <v>199.5094407624363</v>
      </c>
      <c r="U99" s="76">
        <v>199.61211412216508</v>
      </c>
      <c r="V99" s="76">
        <v>199.71577332400366</v>
      </c>
    </row>
    <row r="100" spans="1:22" x14ac:dyDescent="0.3">
      <c r="A100" s="3" t="str">
        <f>INDEX(Mapping!$Y:$Y,MATCH($C100,Mapping!$W:$W,0))</f>
        <v>Rural</v>
      </c>
      <c r="B100" s="3" t="str">
        <f>INDEX(Mapping!$V:$V,MATCH(C100,Mapping!$W:$W,0))</f>
        <v>SWV</v>
      </c>
      <c r="C100" t="s">
        <v>166</v>
      </c>
      <c r="D100">
        <v>2</v>
      </c>
      <c r="E100" s="20"/>
      <c r="F100" s="76">
        <v>206.47013352073085</v>
      </c>
      <c r="G100" s="76">
        <v>202.12508784258608</v>
      </c>
      <c r="H100" s="76">
        <v>202.44694307800421</v>
      </c>
      <c r="I100" s="76">
        <v>194.49051300070275</v>
      </c>
      <c r="J100" s="76">
        <v>198.02670414617006</v>
      </c>
      <c r="K100" s="76">
        <v>200.34861551035752</v>
      </c>
      <c r="L100" s="76">
        <v>199.98982859560428</v>
      </c>
      <c r="M100" s="76">
        <v>199.74861200075054</v>
      </c>
      <c r="N100" s="76">
        <v>199.54650153882886</v>
      </c>
      <c r="O100" s="76">
        <v>199.37872897246547</v>
      </c>
      <c r="P100" s="76">
        <v>199.27749269323488</v>
      </c>
      <c r="Q100" s="76">
        <v>199.24190417751987</v>
      </c>
      <c r="R100" s="76">
        <v>199.2447658641905</v>
      </c>
      <c r="S100" s="76">
        <v>199.30345966409348</v>
      </c>
      <c r="T100" s="76">
        <v>199.40659916057879</v>
      </c>
      <c r="U100" s="76">
        <v>199.5094407624363</v>
      </c>
      <c r="V100" s="76">
        <v>199.61211412216508</v>
      </c>
    </row>
    <row r="101" spans="1:22" x14ac:dyDescent="0.3">
      <c r="A101" s="3" t="str">
        <f>INDEX(Mapping!$Y:$Y,MATCH($C101,Mapping!$W:$W,0))</f>
        <v>Rural</v>
      </c>
      <c r="B101" s="3" t="str">
        <f>INDEX(Mapping!$V:$V,MATCH(C101,Mapping!$W:$W,0))</f>
        <v>SWV</v>
      </c>
      <c r="C101" t="s">
        <v>166</v>
      </c>
      <c r="D101">
        <v>3</v>
      </c>
      <c r="E101" s="20"/>
      <c r="F101" s="76">
        <v>229.01054111033028</v>
      </c>
      <c r="G101" s="76">
        <v>224.19114546732254</v>
      </c>
      <c r="H101" s="76">
        <v>224.54813773717498</v>
      </c>
      <c r="I101" s="76">
        <v>202.44694307800421</v>
      </c>
      <c r="J101" s="76">
        <v>194.49051300070275</v>
      </c>
      <c r="K101" s="76">
        <v>198.02670414617006</v>
      </c>
      <c r="L101" s="76">
        <v>200.34861551035752</v>
      </c>
      <c r="M101" s="76">
        <v>199.98982859560428</v>
      </c>
      <c r="N101" s="76">
        <v>199.74861200075054</v>
      </c>
      <c r="O101" s="76">
        <v>199.54650153882886</v>
      </c>
      <c r="P101" s="76">
        <v>199.37872897246547</v>
      </c>
      <c r="Q101" s="76">
        <v>199.27749269323488</v>
      </c>
      <c r="R101" s="76">
        <v>199.24190417751987</v>
      </c>
      <c r="S101" s="76">
        <v>199.2447658641905</v>
      </c>
      <c r="T101" s="76">
        <v>199.30345966409348</v>
      </c>
      <c r="U101" s="76">
        <v>199.40659916057879</v>
      </c>
      <c r="V101" s="76">
        <v>199.5094407624363</v>
      </c>
    </row>
    <row r="102" spans="1:22" x14ac:dyDescent="0.3">
      <c r="A102" s="3" t="str">
        <f>INDEX(Mapping!$Y:$Y,MATCH($C102,Mapping!$W:$W,0))</f>
        <v>Rural</v>
      </c>
      <c r="B102" s="3" t="str">
        <f>INDEX(Mapping!$V:$V,MATCH(C102,Mapping!$W:$W,0))</f>
        <v>SWV</v>
      </c>
      <c r="C102" t="s">
        <v>166</v>
      </c>
      <c r="D102">
        <v>4</v>
      </c>
      <c r="E102" s="20"/>
      <c r="F102" s="76">
        <v>212.78144764581867</v>
      </c>
      <c r="G102" s="76">
        <v>208.30358397751229</v>
      </c>
      <c r="H102" s="76">
        <v>208.63527758257203</v>
      </c>
      <c r="I102" s="76">
        <v>224.54813773717498</v>
      </c>
      <c r="J102" s="76">
        <v>202.44694307800421</v>
      </c>
      <c r="K102" s="76">
        <v>194.49051300070275</v>
      </c>
      <c r="L102" s="76">
        <v>198.02670414617006</v>
      </c>
      <c r="M102" s="76">
        <v>200.34861551035752</v>
      </c>
      <c r="N102" s="76">
        <v>199.98982859560428</v>
      </c>
      <c r="O102" s="76">
        <v>199.74861200075054</v>
      </c>
      <c r="P102" s="76">
        <v>199.54650153882886</v>
      </c>
      <c r="Q102" s="76">
        <v>199.37872897246547</v>
      </c>
      <c r="R102" s="76">
        <v>199.27749269323488</v>
      </c>
      <c r="S102" s="76">
        <v>199.24190417751987</v>
      </c>
      <c r="T102" s="76">
        <v>199.2447658641905</v>
      </c>
      <c r="U102" s="76">
        <v>199.30345966409348</v>
      </c>
      <c r="V102" s="76">
        <v>199.40659916057879</v>
      </c>
    </row>
    <row r="103" spans="1:22" x14ac:dyDescent="0.3">
      <c r="A103" s="3" t="str">
        <f>INDEX(Mapping!$Y:$Y,MATCH($C103,Mapping!$W:$W,0))</f>
        <v>Rural</v>
      </c>
      <c r="B103" s="3" t="str">
        <f>INDEX(Mapping!$V:$V,MATCH(C103,Mapping!$W:$W,0))</f>
        <v>SWV</v>
      </c>
      <c r="C103" t="s">
        <v>166</v>
      </c>
      <c r="D103">
        <v>5</v>
      </c>
      <c r="E103" s="20"/>
      <c r="F103" s="76">
        <v>236.24736472241742</v>
      </c>
      <c r="G103" s="76">
        <v>241.18060435699226</v>
      </c>
      <c r="H103" s="76">
        <v>246.11384399156711</v>
      </c>
      <c r="I103" s="76">
        <v>208.63527758257203</v>
      </c>
      <c r="J103" s="76">
        <v>224.54813773717498</v>
      </c>
      <c r="K103" s="76">
        <v>202.44694307800421</v>
      </c>
      <c r="L103" s="76">
        <v>194.49051300070275</v>
      </c>
      <c r="M103" s="76">
        <v>198.02670414617006</v>
      </c>
      <c r="N103" s="76">
        <v>200.34861551035752</v>
      </c>
      <c r="O103" s="76">
        <v>199.98982859560428</v>
      </c>
      <c r="P103" s="76">
        <v>199.74861200075054</v>
      </c>
      <c r="Q103" s="76">
        <v>199.54650153882886</v>
      </c>
      <c r="R103" s="76">
        <v>199.37872897246547</v>
      </c>
      <c r="S103" s="76">
        <v>199.27749269323488</v>
      </c>
      <c r="T103" s="76">
        <v>199.24190417751987</v>
      </c>
      <c r="U103" s="76">
        <v>199.2447658641905</v>
      </c>
      <c r="V103" s="76">
        <v>199.30345966409348</v>
      </c>
    </row>
    <row r="104" spans="1:22" x14ac:dyDescent="0.3">
      <c r="A104" s="3" t="str">
        <f>INDEX(Mapping!$Y:$Y,MATCH($C104,Mapping!$W:$W,0))</f>
        <v>Rural</v>
      </c>
      <c r="B104" s="3" t="str">
        <f>INDEX(Mapping!$V:$V,MATCH(C104,Mapping!$W:$W,0))</f>
        <v>SWV</v>
      </c>
      <c r="C104" t="s">
        <v>167</v>
      </c>
      <c r="D104">
        <v>0</v>
      </c>
      <c r="E104" s="20"/>
      <c r="F104" s="76">
        <v>131.60372093023256</v>
      </c>
      <c r="G104" s="76">
        <v>127.66511627906975</v>
      </c>
      <c r="H104" s="76">
        <v>121.68930232558138</v>
      </c>
      <c r="I104" s="76">
        <v>132.97718611690024</v>
      </c>
      <c r="J104" s="76">
        <v>132.16345322131809</v>
      </c>
      <c r="K104" s="76">
        <v>131.39015989700721</v>
      </c>
      <c r="L104" s="76">
        <v>130.6248013436194</v>
      </c>
      <c r="M104" s="76">
        <v>129.86256188768107</v>
      </c>
      <c r="N104" s="76">
        <v>129.11144821135551</v>
      </c>
      <c r="O104" s="76">
        <v>128.37071925216421</v>
      </c>
      <c r="P104" s="76">
        <v>127.62277946344749</v>
      </c>
      <c r="Q104" s="76">
        <v>126.87846184885713</v>
      </c>
      <c r="R104" s="76">
        <v>126.13049310974503</v>
      </c>
      <c r="S104" s="76">
        <v>125.38231831031513</v>
      </c>
      <c r="T104" s="76">
        <v>124.63402207077864</v>
      </c>
      <c r="U104" s="76">
        <v>123.88632236277851</v>
      </c>
      <c r="V104" s="76">
        <v>123.13801683186351</v>
      </c>
    </row>
    <row r="105" spans="1:22" x14ac:dyDescent="0.3">
      <c r="A105" s="3" t="str">
        <f>INDEX(Mapping!$Y:$Y,MATCH($C105,Mapping!$W:$W,0))</f>
        <v>Rural</v>
      </c>
      <c r="B105" s="3" t="str">
        <f>INDEX(Mapping!$V:$V,MATCH(C105,Mapping!$W:$W,0))</f>
        <v>SWV</v>
      </c>
      <c r="C105" t="s">
        <v>167</v>
      </c>
      <c r="D105">
        <v>1</v>
      </c>
      <c r="E105" s="20"/>
      <c r="F105" s="76">
        <v>170.36372093023255</v>
      </c>
      <c r="G105" s="76">
        <v>165.26511627906976</v>
      </c>
      <c r="H105" s="76">
        <v>157.5293023255814</v>
      </c>
      <c r="I105" s="76">
        <v>121.68930232558138</v>
      </c>
      <c r="J105" s="76">
        <v>132.97718611690024</v>
      </c>
      <c r="K105" s="76">
        <v>132.16345322131809</v>
      </c>
      <c r="L105" s="76">
        <v>131.39015989700721</v>
      </c>
      <c r="M105" s="76">
        <v>130.6248013436194</v>
      </c>
      <c r="N105" s="76">
        <v>129.86256188768107</v>
      </c>
      <c r="O105" s="76">
        <v>129.11144821135551</v>
      </c>
      <c r="P105" s="76">
        <v>128.37071925216421</v>
      </c>
      <c r="Q105" s="76">
        <v>127.62277946344749</v>
      </c>
      <c r="R105" s="76">
        <v>126.87846184885713</v>
      </c>
      <c r="S105" s="76">
        <v>126.13049310974503</v>
      </c>
      <c r="T105" s="76">
        <v>125.38231831031513</v>
      </c>
      <c r="U105" s="76">
        <v>124.63402207077864</v>
      </c>
      <c r="V105" s="76">
        <v>123.88632236277851</v>
      </c>
    </row>
    <row r="106" spans="1:22" x14ac:dyDescent="0.3">
      <c r="A106" s="3" t="str">
        <f>INDEX(Mapping!$Y:$Y,MATCH($C106,Mapping!$W:$W,0))</f>
        <v>Rural</v>
      </c>
      <c r="B106" s="3" t="str">
        <f>INDEX(Mapping!$V:$V,MATCH(C106,Mapping!$W:$W,0))</f>
        <v>SWV</v>
      </c>
      <c r="C106" t="s">
        <v>167</v>
      </c>
      <c r="D106">
        <v>2</v>
      </c>
      <c r="E106" s="20"/>
      <c r="F106" s="76">
        <v>139.71627906976747</v>
      </c>
      <c r="G106" s="76">
        <v>135.53488372093025</v>
      </c>
      <c r="H106" s="76">
        <v>129.19069767441863</v>
      </c>
      <c r="I106" s="76">
        <v>157.5293023255814</v>
      </c>
      <c r="J106" s="76">
        <v>121.68930232558138</v>
      </c>
      <c r="K106" s="76">
        <v>132.97718611690024</v>
      </c>
      <c r="L106" s="76">
        <v>132.16345322131809</v>
      </c>
      <c r="M106" s="76">
        <v>131.39015989700721</v>
      </c>
      <c r="N106" s="76">
        <v>130.6248013436194</v>
      </c>
      <c r="O106" s="76">
        <v>129.86256188768107</v>
      </c>
      <c r="P106" s="76">
        <v>129.11144821135551</v>
      </c>
      <c r="Q106" s="76">
        <v>128.37071925216421</v>
      </c>
      <c r="R106" s="76">
        <v>127.62277946344749</v>
      </c>
      <c r="S106" s="76">
        <v>126.87846184885713</v>
      </c>
      <c r="T106" s="76">
        <v>126.13049310974503</v>
      </c>
      <c r="U106" s="76">
        <v>125.38231831031513</v>
      </c>
      <c r="V106" s="76">
        <v>124.63402207077864</v>
      </c>
    </row>
    <row r="107" spans="1:22" x14ac:dyDescent="0.3">
      <c r="A107" s="3" t="str">
        <f>INDEX(Mapping!$Y:$Y,MATCH($C107,Mapping!$W:$W,0))</f>
        <v>Rural</v>
      </c>
      <c r="B107" s="3" t="str">
        <f>INDEX(Mapping!$V:$V,MATCH(C107,Mapping!$W:$W,0))</f>
        <v>SWV</v>
      </c>
      <c r="C107" t="s">
        <v>167</v>
      </c>
      <c r="D107">
        <v>3</v>
      </c>
      <c r="E107" s="20"/>
      <c r="F107" s="76">
        <v>157.74418604651163</v>
      </c>
      <c r="G107" s="76">
        <v>153.02325581395351</v>
      </c>
      <c r="H107" s="76">
        <v>145.86046511627907</v>
      </c>
      <c r="I107" s="76">
        <v>129.19069767441863</v>
      </c>
      <c r="J107" s="76">
        <v>157.5293023255814</v>
      </c>
      <c r="K107" s="76">
        <v>121.68930232558138</v>
      </c>
      <c r="L107" s="76">
        <v>132.97718611690024</v>
      </c>
      <c r="M107" s="76">
        <v>132.16345322131809</v>
      </c>
      <c r="N107" s="76">
        <v>131.39015989700721</v>
      </c>
      <c r="O107" s="76">
        <v>130.6248013436194</v>
      </c>
      <c r="P107" s="76">
        <v>129.86256188768107</v>
      </c>
      <c r="Q107" s="76">
        <v>129.11144821135551</v>
      </c>
      <c r="R107" s="76">
        <v>128.37071925216421</v>
      </c>
      <c r="S107" s="76">
        <v>127.62277946344749</v>
      </c>
      <c r="T107" s="76">
        <v>126.87846184885713</v>
      </c>
      <c r="U107" s="76">
        <v>126.13049310974503</v>
      </c>
      <c r="V107" s="76">
        <v>125.38231831031513</v>
      </c>
    </row>
    <row r="108" spans="1:22" x14ac:dyDescent="0.3">
      <c r="A108" s="3" t="str">
        <f>INDEX(Mapping!$Y:$Y,MATCH($C108,Mapping!$W:$W,0))</f>
        <v>Rural</v>
      </c>
      <c r="B108" s="3" t="str">
        <f>INDEX(Mapping!$V:$V,MATCH(C108,Mapping!$W:$W,0))</f>
        <v>SWV</v>
      </c>
      <c r="C108" t="s">
        <v>167</v>
      </c>
      <c r="D108">
        <v>4</v>
      </c>
      <c r="E108" s="20"/>
      <c r="F108" s="76">
        <v>186.58883720930231</v>
      </c>
      <c r="G108" s="76">
        <v>181.00465116279068</v>
      </c>
      <c r="H108" s="76">
        <v>172.53209302325581</v>
      </c>
      <c r="I108" s="76">
        <v>145.86046511627907</v>
      </c>
      <c r="J108" s="76">
        <v>129.19069767441863</v>
      </c>
      <c r="K108" s="76">
        <v>157.5293023255814</v>
      </c>
      <c r="L108" s="76">
        <v>121.68930232558138</v>
      </c>
      <c r="M108" s="76">
        <v>132.97718611690024</v>
      </c>
      <c r="N108" s="76">
        <v>132.16345322131809</v>
      </c>
      <c r="O108" s="76">
        <v>131.39015989700721</v>
      </c>
      <c r="P108" s="76">
        <v>130.6248013436194</v>
      </c>
      <c r="Q108" s="76">
        <v>129.86256188768107</v>
      </c>
      <c r="R108" s="76">
        <v>129.11144821135551</v>
      </c>
      <c r="S108" s="76">
        <v>128.37071925216421</v>
      </c>
      <c r="T108" s="76">
        <v>127.62277946344749</v>
      </c>
      <c r="U108" s="76">
        <v>126.87846184885713</v>
      </c>
      <c r="V108" s="76">
        <v>126.13049310974503</v>
      </c>
    </row>
    <row r="109" spans="1:22" x14ac:dyDescent="0.3">
      <c r="A109" s="3" t="str">
        <f>INDEX(Mapping!$Y:$Y,MATCH($C109,Mapping!$W:$W,0))</f>
        <v>Rural</v>
      </c>
      <c r="B109" s="3" t="str">
        <f>INDEX(Mapping!$V:$V,MATCH(C109,Mapping!$W:$W,0))</f>
        <v>SWV</v>
      </c>
      <c r="C109" t="s">
        <v>167</v>
      </c>
      <c r="D109">
        <v>5</v>
      </c>
      <c r="E109" s="20"/>
      <c r="F109" s="76">
        <v>210.36465116279069</v>
      </c>
      <c r="G109" s="76">
        <v>205.83255813953488</v>
      </c>
      <c r="H109" s="76">
        <v>197.90139534883721</v>
      </c>
      <c r="I109" s="76">
        <v>172.53209302325581</v>
      </c>
      <c r="J109" s="76">
        <v>145.86046511627907</v>
      </c>
      <c r="K109" s="76">
        <v>129.19069767441863</v>
      </c>
      <c r="L109" s="76">
        <v>157.5293023255814</v>
      </c>
      <c r="M109" s="76">
        <v>121.68930232558138</v>
      </c>
      <c r="N109" s="76">
        <v>132.97718611690024</v>
      </c>
      <c r="O109" s="76">
        <v>132.16345322131809</v>
      </c>
      <c r="P109" s="76">
        <v>131.39015989700721</v>
      </c>
      <c r="Q109" s="76">
        <v>130.6248013436194</v>
      </c>
      <c r="R109" s="76">
        <v>129.86256188768107</v>
      </c>
      <c r="S109" s="76">
        <v>129.11144821135551</v>
      </c>
      <c r="T109" s="76">
        <v>128.37071925216421</v>
      </c>
      <c r="U109" s="76">
        <v>127.62277946344749</v>
      </c>
      <c r="V109" s="76">
        <v>126.87846184885713</v>
      </c>
    </row>
    <row r="110" spans="1:22" x14ac:dyDescent="0.3">
      <c r="A110" s="3" t="str">
        <f>INDEX(Mapping!$Y:$Y,MATCH($C110,Mapping!$W:$W,0))</f>
        <v>Metro</v>
      </c>
      <c r="B110" s="3" t="str">
        <f>INDEX(Mapping!$V:$V,MATCH(C110,Mapping!$W:$W,0))</f>
        <v>NWV</v>
      </c>
      <c r="C110" t="s">
        <v>134</v>
      </c>
      <c r="D110">
        <v>0</v>
      </c>
      <c r="E110" s="20"/>
      <c r="F110" s="76">
        <v>1578.3877551020407</v>
      </c>
      <c r="G110" s="76">
        <v>1609.1725067385446</v>
      </c>
      <c r="H110" s="76">
        <v>1621.887947631883</v>
      </c>
      <c r="I110" s="76">
        <v>1859.3787751017696</v>
      </c>
      <c r="J110" s="76">
        <v>1892.3735893716155</v>
      </c>
      <c r="K110" s="76">
        <v>1922.2546225743761</v>
      </c>
      <c r="L110" s="76">
        <v>1950.0259229341384</v>
      </c>
      <c r="M110" s="76">
        <v>1979.5656510082645</v>
      </c>
      <c r="N110" s="76">
        <v>2007.0606762129021</v>
      </c>
      <c r="O110" s="76">
        <v>2034.9555333556016</v>
      </c>
      <c r="P110" s="76">
        <v>2062.5263824417584</v>
      </c>
      <c r="Q110" s="76">
        <v>2090.367277953208</v>
      </c>
      <c r="R110" s="76">
        <v>2119.0558113223465</v>
      </c>
      <c r="S110" s="76">
        <v>2148.3446084435859</v>
      </c>
      <c r="T110" s="76">
        <v>2178.0574758110788</v>
      </c>
      <c r="U110" s="76">
        <v>2208.1686322837945</v>
      </c>
      <c r="V110" s="76">
        <v>2238.7549073904133</v>
      </c>
    </row>
    <row r="111" spans="1:22" x14ac:dyDescent="0.3">
      <c r="A111" s="3" t="str">
        <f>INDEX(Mapping!$Y:$Y,MATCH($C111,Mapping!$W:$W,0))</f>
        <v>Metro</v>
      </c>
      <c r="B111" s="3" t="str">
        <f>INDEX(Mapping!$V:$V,MATCH(C111,Mapping!$W:$W,0))</f>
        <v>NWV</v>
      </c>
      <c r="C111" t="s">
        <v>134</v>
      </c>
      <c r="D111">
        <v>1</v>
      </c>
      <c r="E111" s="20"/>
      <c r="F111" s="76">
        <v>1698.2653061224489</v>
      </c>
      <c r="G111" s="76">
        <v>1731.388140161725</v>
      </c>
      <c r="H111" s="76">
        <v>1745.0693107431653</v>
      </c>
      <c r="I111" s="76">
        <v>1621.887947631883</v>
      </c>
      <c r="J111" s="76">
        <v>1859.3787751017696</v>
      </c>
      <c r="K111" s="76">
        <v>1892.3735893716155</v>
      </c>
      <c r="L111" s="76">
        <v>1922.2546225743761</v>
      </c>
      <c r="M111" s="76">
        <v>1950.0259229341384</v>
      </c>
      <c r="N111" s="76">
        <v>1979.5656510082645</v>
      </c>
      <c r="O111" s="76">
        <v>2007.0606762129021</v>
      </c>
      <c r="P111" s="76">
        <v>2034.9555333556016</v>
      </c>
      <c r="Q111" s="76">
        <v>2062.5263824417584</v>
      </c>
      <c r="R111" s="76">
        <v>2090.367277953208</v>
      </c>
      <c r="S111" s="76">
        <v>2119.0558113223465</v>
      </c>
      <c r="T111" s="76">
        <v>2148.3446084435859</v>
      </c>
      <c r="U111" s="76">
        <v>2178.0574758110788</v>
      </c>
      <c r="V111" s="76">
        <v>2208.1686322837945</v>
      </c>
    </row>
    <row r="112" spans="1:22" x14ac:dyDescent="0.3">
      <c r="A112" s="3" t="str">
        <f>INDEX(Mapping!$Y:$Y,MATCH($C112,Mapping!$W:$W,0))</f>
        <v>Metro</v>
      </c>
      <c r="B112" s="3" t="str">
        <f>INDEX(Mapping!$V:$V,MATCH(C112,Mapping!$W:$W,0))</f>
        <v>NWV</v>
      </c>
      <c r="C112" t="s">
        <v>134</v>
      </c>
      <c r="D112">
        <v>2</v>
      </c>
      <c r="E112" s="20"/>
      <c r="F112" s="76">
        <v>1612.8979591836735</v>
      </c>
      <c r="G112" s="76">
        <v>1644.355795148248</v>
      </c>
      <c r="H112" s="76">
        <v>1657.3492491336158</v>
      </c>
      <c r="I112" s="76">
        <v>1745.0693107431653</v>
      </c>
      <c r="J112" s="76">
        <v>1621.887947631883</v>
      </c>
      <c r="K112" s="76">
        <v>1859.3787751017696</v>
      </c>
      <c r="L112" s="76">
        <v>1892.3735893716155</v>
      </c>
      <c r="M112" s="76">
        <v>1922.2546225743761</v>
      </c>
      <c r="N112" s="76">
        <v>1950.0259229341384</v>
      </c>
      <c r="O112" s="76">
        <v>1979.5656510082645</v>
      </c>
      <c r="P112" s="76">
        <v>2007.0606762129021</v>
      </c>
      <c r="Q112" s="76">
        <v>2034.9555333556016</v>
      </c>
      <c r="R112" s="76">
        <v>2062.5263824417584</v>
      </c>
      <c r="S112" s="76">
        <v>2090.367277953208</v>
      </c>
      <c r="T112" s="76">
        <v>2119.0558113223465</v>
      </c>
      <c r="U112" s="76">
        <v>2148.3446084435859</v>
      </c>
      <c r="V112" s="76">
        <v>2178.0574758110788</v>
      </c>
    </row>
    <row r="113" spans="1:22" x14ac:dyDescent="0.3">
      <c r="A113" s="3" t="str">
        <f>INDEX(Mapping!$Y:$Y,MATCH($C113,Mapping!$W:$W,0))</f>
        <v>Metro</v>
      </c>
      <c r="B113" s="3" t="str">
        <f>INDEX(Mapping!$V:$V,MATCH(C113,Mapping!$W:$W,0))</f>
        <v>NWV</v>
      </c>
      <c r="C113" t="s">
        <v>134</v>
      </c>
      <c r="D113">
        <v>3</v>
      </c>
      <c r="E113" s="20"/>
      <c r="F113" s="76">
        <v>1577.4795918367347</v>
      </c>
      <c r="G113" s="76">
        <v>1608.2466307277627</v>
      </c>
      <c r="H113" s="76">
        <v>1620.9547554871006</v>
      </c>
      <c r="I113" s="76">
        <v>1657.3492491336158</v>
      </c>
      <c r="J113" s="76">
        <v>1745.0693107431653</v>
      </c>
      <c r="K113" s="76">
        <v>1621.887947631883</v>
      </c>
      <c r="L113" s="76">
        <v>1859.3787751017696</v>
      </c>
      <c r="M113" s="76">
        <v>1892.3735893716155</v>
      </c>
      <c r="N113" s="76">
        <v>1922.2546225743761</v>
      </c>
      <c r="O113" s="76">
        <v>1950.0259229341384</v>
      </c>
      <c r="P113" s="76">
        <v>1979.5656510082645</v>
      </c>
      <c r="Q113" s="76">
        <v>2007.0606762129021</v>
      </c>
      <c r="R113" s="76">
        <v>2034.9555333556016</v>
      </c>
      <c r="S113" s="76">
        <v>2062.5263824417584</v>
      </c>
      <c r="T113" s="76">
        <v>2090.367277953208</v>
      </c>
      <c r="U113" s="76">
        <v>2119.0558113223465</v>
      </c>
      <c r="V113" s="76">
        <v>2148.3446084435859</v>
      </c>
    </row>
    <row r="114" spans="1:22" x14ac:dyDescent="0.3">
      <c r="A114" s="3" t="str">
        <f>INDEX(Mapping!$Y:$Y,MATCH($C114,Mapping!$W:$W,0))</f>
        <v>Metro</v>
      </c>
      <c r="B114" s="3" t="str">
        <f>INDEX(Mapping!$V:$V,MATCH(C114,Mapping!$W:$W,0))</f>
        <v>NWV</v>
      </c>
      <c r="C114" t="s">
        <v>134</v>
      </c>
      <c r="D114">
        <v>4</v>
      </c>
      <c r="E114" s="20"/>
      <c r="F114" s="76">
        <v>1559.3163265306123</v>
      </c>
      <c r="G114" s="76">
        <v>1589.7291105121294</v>
      </c>
      <c r="H114" s="76">
        <v>1602.2909125914516</v>
      </c>
      <c r="I114" s="76">
        <v>1620.9547554871006</v>
      </c>
      <c r="J114" s="76">
        <v>1657.3492491336158</v>
      </c>
      <c r="K114" s="76">
        <v>1745.0693107431653</v>
      </c>
      <c r="L114" s="76">
        <v>1621.887947631883</v>
      </c>
      <c r="M114" s="76">
        <v>1859.3787751017696</v>
      </c>
      <c r="N114" s="76">
        <v>1892.3735893716155</v>
      </c>
      <c r="O114" s="76">
        <v>1922.2546225743761</v>
      </c>
      <c r="P114" s="76">
        <v>1950.0259229341384</v>
      </c>
      <c r="Q114" s="76">
        <v>1979.5656510082645</v>
      </c>
      <c r="R114" s="76">
        <v>2007.0606762129021</v>
      </c>
      <c r="S114" s="76">
        <v>2034.9555333556016</v>
      </c>
      <c r="T114" s="76">
        <v>2062.5263824417584</v>
      </c>
      <c r="U114" s="76">
        <v>2090.367277953208</v>
      </c>
      <c r="V114" s="76">
        <v>2119.0558113223465</v>
      </c>
    </row>
    <row r="115" spans="1:22" x14ac:dyDescent="0.3">
      <c r="A115" s="3" t="str">
        <f>INDEX(Mapping!$Y:$Y,MATCH($C115,Mapping!$W:$W,0))</f>
        <v>Metro</v>
      </c>
      <c r="B115" s="3" t="str">
        <f>INDEX(Mapping!$V:$V,MATCH(C115,Mapping!$W:$W,0))</f>
        <v>NWV</v>
      </c>
      <c r="C115" t="s">
        <v>134</v>
      </c>
      <c r="D115">
        <v>5</v>
      </c>
      <c r="E115" s="20"/>
      <c r="F115" s="76">
        <v>1238.0005775895263</v>
      </c>
      <c r="G115" s="76">
        <v>1245.7595302271852</v>
      </c>
      <c r="H115" s="76">
        <v>1253.9661147477859</v>
      </c>
      <c r="I115" s="76">
        <v>1602.2909125914516</v>
      </c>
      <c r="J115" s="76">
        <v>1620.9547554871006</v>
      </c>
      <c r="K115" s="76">
        <v>1657.3492491336158</v>
      </c>
      <c r="L115" s="76">
        <v>1745.0693107431653</v>
      </c>
      <c r="M115" s="76">
        <v>1621.887947631883</v>
      </c>
      <c r="N115" s="76">
        <v>1859.3787751017696</v>
      </c>
      <c r="O115" s="76">
        <v>1892.3735893716155</v>
      </c>
      <c r="P115" s="76">
        <v>1922.2546225743761</v>
      </c>
      <c r="Q115" s="76">
        <v>1950.0259229341384</v>
      </c>
      <c r="R115" s="76">
        <v>1979.5656510082645</v>
      </c>
      <c r="S115" s="76">
        <v>2007.0606762129021</v>
      </c>
      <c r="T115" s="76">
        <v>2034.9555333556016</v>
      </c>
      <c r="U115" s="76">
        <v>2062.5263824417584</v>
      </c>
      <c r="V115" s="76">
        <v>2090.367277953208</v>
      </c>
    </row>
    <row r="116" spans="1:22" x14ac:dyDescent="0.3">
      <c r="A116" s="3" t="str">
        <f>INDEX(Mapping!$Y:$Y,MATCH($C116,Mapping!$W:$W,0))</f>
        <v>Rural</v>
      </c>
      <c r="B116" s="3" t="str">
        <f>INDEX(Mapping!$V:$V,MATCH(C116,Mapping!$W:$W,0))</f>
        <v>SEV</v>
      </c>
      <c r="C116" t="s">
        <v>152</v>
      </c>
      <c r="D116">
        <v>0</v>
      </c>
      <c r="E116" s="20"/>
      <c r="F116" s="76">
        <v>390.49759881787958</v>
      </c>
      <c r="G116" s="76">
        <v>399.78352419652754</v>
      </c>
      <c r="H116" s="76">
        <v>392.6154414480975</v>
      </c>
      <c r="I116" s="76">
        <v>433.18878867598073</v>
      </c>
      <c r="J116" s="76">
        <v>438.43535667766815</v>
      </c>
      <c r="K116" s="76">
        <v>443.65939240418157</v>
      </c>
      <c r="L116" s="76">
        <v>449.10641658384378</v>
      </c>
      <c r="M116" s="76">
        <v>454.15658130237995</v>
      </c>
      <c r="N116" s="76">
        <v>459.02578051033873</v>
      </c>
      <c r="O116" s="76">
        <v>463.7069678414241</v>
      </c>
      <c r="P116" s="76">
        <v>468.45429612166362</v>
      </c>
      <c r="Q116" s="76">
        <v>473.21571858055938</v>
      </c>
      <c r="R116" s="76">
        <v>477.9794041213035</v>
      </c>
      <c r="S116" s="76">
        <v>482.74942704401212</v>
      </c>
      <c r="T116" s="76">
        <v>487.52744984114662</v>
      </c>
      <c r="U116" s="76">
        <v>492.29307885598456</v>
      </c>
      <c r="V116" s="76">
        <v>497.07558830779033</v>
      </c>
    </row>
    <row r="117" spans="1:22" x14ac:dyDescent="0.3">
      <c r="A117" s="3" t="str">
        <f>INDEX(Mapping!$Y:$Y,MATCH($C117,Mapping!$W:$W,0))</f>
        <v>Rural</v>
      </c>
      <c r="B117" s="3" t="str">
        <f>INDEX(Mapping!$V:$V,MATCH(C117,Mapping!$W:$W,0))</f>
        <v>SEV</v>
      </c>
      <c r="C117" t="s">
        <v>152</v>
      </c>
      <c r="D117">
        <v>1</v>
      </c>
      <c r="E117" s="20"/>
      <c r="F117" s="76">
        <v>383.41374214998154</v>
      </c>
      <c r="G117" s="76">
        <v>392.53121536756561</v>
      </c>
      <c r="H117" s="76">
        <v>385.49316586627265</v>
      </c>
      <c r="I117" s="76">
        <v>392.6154414480975</v>
      </c>
      <c r="J117" s="76">
        <v>433.18878867598073</v>
      </c>
      <c r="K117" s="76">
        <v>438.43535667766815</v>
      </c>
      <c r="L117" s="76">
        <v>443.65939240418157</v>
      </c>
      <c r="M117" s="76">
        <v>449.10641658384378</v>
      </c>
      <c r="N117" s="76">
        <v>454.15658130237995</v>
      </c>
      <c r="O117" s="76">
        <v>459.02578051033873</v>
      </c>
      <c r="P117" s="76">
        <v>463.7069678414241</v>
      </c>
      <c r="Q117" s="76">
        <v>468.45429612166362</v>
      </c>
      <c r="R117" s="76">
        <v>473.21571858055938</v>
      </c>
      <c r="S117" s="76">
        <v>477.9794041213035</v>
      </c>
      <c r="T117" s="76">
        <v>482.74942704401212</v>
      </c>
      <c r="U117" s="76">
        <v>487.52744984114662</v>
      </c>
      <c r="V117" s="76">
        <v>492.29307885598456</v>
      </c>
    </row>
    <row r="118" spans="1:22" x14ac:dyDescent="0.3">
      <c r="A118" s="3" t="str">
        <f>INDEX(Mapping!$Y:$Y,MATCH($C118,Mapping!$W:$W,0))</f>
        <v>Rural</v>
      </c>
      <c r="B118" s="3" t="str">
        <f>INDEX(Mapping!$V:$V,MATCH(C118,Mapping!$W:$W,0))</f>
        <v>SEV</v>
      </c>
      <c r="C118" t="s">
        <v>152</v>
      </c>
      <c r="D118">
        <v>2</v>
      </c>
      <c r="E118" s="20"/>
      <c r="F118" s="76">
        <v>381.64277798300697</v>
      </c>
      <c r="G118" s="76">
        <v>390.71813816032505</v>
      </c>
      <c r="H118" s="76">
        <v>383.71259697081638</v>
      </c>
      <c r="I118" s="76">
        <v>385.49316586627265</v>
      </c>
      <c r="J118" s="76">
        <v>392.6154414480975</v>
      </c>
      <c r="K118" s="76">
        <v>433.18878867598073</v>
      </c>
      <c r="L118" s="76">
        <v>438.43535667766815</v>
      </c>
      <c r="M118" s="76">
        <v>443.65939240418157</v>
      </c>
      <c r="N118" s="76">
        <v>449.10641658384378</v>
      </c>
      <c r="O118" s="76">
        <v>454.15658130237995</v>
      </c>
      <c r="P118" s="76">
        <v>459.02578051033873</v>
      </c>
      <c r="Q118" s="76">
        <v>463.7069678414241</v>
      </c>
      <c r="R118" s="76">
        <v>468.45429612166362</v>
      </c>
      <c r="S118" s="76">
        <v>473.21571858055938</v>
      </c>
      <c r="T118" s="76">
        <v>477.9794041213035</v>
      </c>
      <c r="U118" s="76">
        <v>482.74942704401212</v>
      </c>
      <c r="V118" s="76">
        <v>487.52744984114662</v>
      </c>
    </row>
    <row r="119" spans="1:22" x14ac:dyDescent="0.3">
      <c r="A119" s="3" t="str">
        <f>INDEX(Mapping!$Y:$Y,MATCH($C119,Mapping!$W:$W,0))</f>
        <v>Rural</v>
      </c>
      <c r="B119" s="3" t="str">
        <f>INDEX(Mapping!$V:$V,MATCH(C119,Mapping!$W:$W,0))</f>
        <v>SEV</v>
      </c>
      <c r="C119" t="s">
        <v>152</v>
      </c>
      <c r="D119">
        <v>3</v>
      </c>
      <c r="E119" s="20"/>
      <c r="F119" s="76">
        <v>382.52826006649428</v>
      </c>
      <c r="G119" s="76">
        <v>391.62467676394533</v>
      </c>
      <c r="H119" s="76">
        <v>384.60288141854454</v>
      </c>
      <c r="I119" s="76">
        <v>383.71259697081638</v>
      </c>
      <c r="J119" s="76">
        <v>385.49316586627265</v>
      </c>
      <c r="K119" s="76">
        <v>392.6154414480975</v>
      </c>
      <c r="L119" s="76">
        <v>433.18878867598073</v>
      </c>
      <c r="M119" s="76">
        <v>438.43535667766815</v>
      </c>
      <c r="N119" s="76">
        <v>443.65939240418157</v>
      </c>
      <c r="O119" s="76">
        <v>449.10641658384378</v>
      </c>
      <c r="P119" s="76">
        <v>454.15658130237995</v>
      </c>
      <c r="Q119" s="76">
        <v>459.02578051033873</v>
      </c>
      <c r="R119" s="76">
        <v>463.7069678414241</v>
      </c>
      <c r="S119" s="76">
        <v>468.45429612166362</v>
      </c>
      <c r="T119" s="76">
        <v>473.21571858055938</v>
      </c>
      <c r="U119" s="76">
        <v>477.9794041213035</v>
      </c>
      <c r="V119" s="76">
        <v>482.74942704401212</v>
      </c>
    </row>
    <row r="120" spans="1:22" x14ac:dyDescent="0.3">
      <c r="A120" s="3" t="str">
        <f>INDEX(Mapping!$Y:$Y,MATCH($C120,Mapping!$W:$W,0))</f>
        <v>Rural</v>
      </c>
      <c r="B120" s="3" t="str">
        <f>INDEX(Mapping!$V:$V,MATCH(C120,Mapping!$W:$W,0))</f>
        <v>SEV</v>
      </c>
      <c r="C120" t="s">
        <v>152</v>
      </c>
      <c r="D120">
        <v>4</v>
      </c>
      <c r="E120" s="20"/>
      <c r="F120" s="76">
        <v>433.00073882526783</v>
      </c>
      <c r="G120" s="76">
        <v>443.29737717029923</v>
      </c>
      <c r="H120" s="76">
        <v>435.34909493904689</v>
      </c>
      <c r="I120" s="76">
        <v>384.60288141854454</v>
      </c>
      <c r="J120" s="76">
        <v>383.71259697081638</v>
      </c>
      <c r="K120" s="76">
        <v>385.49316586627265</v>
      </c>
      <c r="L120" s="76">
        <v>392.6154414480975</v>
      </c>
      <c r="M120" s="76">
        <v>433.18878867598073</v>
      </c>
      <c r="N120" s="76">
        <v>438.43535667766815</v>
      </c>
      <c r="O120" s="76">
        <v>443.65939240418157</v>
      </c>
      <c r="P120" s="76">
        <v>449.10641658384378</v>
      </c>
      <c r="Q120" s="76">
        <v>454.15658130237995</v>
      </c>
      <c r="R120" s="76">
        <v>459.02578051033873</v>
      </c>
      <c r="S120" s="76">
        <v>463.7069678414241</v>
      </c>
      <c r="T120" s="76">
        <v>468.45429612166362</v>
      </c>
      <c r="U120" s="76">
        <v>473.21571858055938</v>
      </c>
      <c r="V120" s="76">
        <v>477.9794041213035</v>
      </c>
    </row>
    <row r="121" spans="1:22" x14ac:dyDescent="0.3">
      <c r="A121" s="3" t="str">
        <f>INDEX(Mapping!$Y:$Y,MATCH($C121,Mapping!$W:$W,0))</f>
        <v>Rural</v>
      </c>
      <c r="B121" s="3" t="str">
        <f>INDEX(Mapping!$V:$V,MATCH(C121,Mapping!$W:$W,0))</f>
        <v>SEV</v>
      </c>
      <c r="C121" t="s">
        <v>152</v>
      </c>
      <c r="D121">
        <v>5</v>
      </c>
      <c r="E121" s="20"/>
      <c r="F121" s="76">
        <v>453.99150350942006</v>
      </c>
      <c r="G121" s="76">
        <v>459.32212781677134</v>
      </c>
      <c r="H121" s="76">
        <v>461.45437753971186</v>
      </c>
      <c r="I121" s="76">
        <v>435.34909493904689</v>
      </c>
      <c r="J121" s="76">
        <v>384.60288141854454</v>
      </c>
      <c r="K121" s="76">
        <v>383.71259697081638</v>
      </c>
      <c r="L121" s="76">
        <v>385.49316586627265</v>
      </c>
      <c r="M121" s="76">
        <v>392.6154414480975</v>
      </c>
      <c r="N121" s="76">
        <v>433.18878867598073</v>
      </c>
      <c r="O121" s="76">
        <v>438.43535667766815</v>
      </c>
      <c r="P121" s="76">
        <v>443.65939240418157</v>
      </c>
      <c r="Q121" s="76">
        <v>449.10641658384378</v>
      </c>
      <c r="R121" s="76">
        <v>454.15658130237995</v>
      </c>
      <c r="S121" s="76">
        <v>459.02578051033873</v>
      </c>
      <c r="T121" s="76">
        <v>463.7069678414241</v>
      </c>
      <c r="U121" s="76">
        <v>468.45429612166362</v>
      </c>
      <c r="V121" s="76">
        <v>473.21571858055938</v>
      </c>
    </row>
    <row r="122" spans="1:22" x14ac:dyDescent="0.3">
      <c r="A122" s="3" t="str">
        <f>INDEX(Mapping!$Y:$Y,MATCH($C122,Mapping!$W:$W,0))</f>
        <v>Metro</v>
      </c>
      <c r="B122" s="3" t="str">
        <f>INDEX(Mapping!$V:$V,MATCH(C122,Mapping!$W:$W,0))</f>
        <v>SEV</v>
      </c>
      <c r="C122" t="s">
        <v>153</v>
      </c>
      <c r="D122">
        <v>0</v>
      </c>
      <c r="E122" s="20"/>
      <c r="F122" s="76">
        <v>1540.0873485488869</v>
      </c>
      <c r="G122" s="76">
        <v>1603.2831783601014</v>
      </c>
      <c r="H122" s="76">
        <v>1633.1394759087066</v>
      </c>
      <c r="I122" s="76">
        <v>1796.7257759855943</v>
      </c>
      <c r="J122" s="76">
        <v>1810.5426537253991</v>
      </c>
      <c r="K122" s="76">
        <v>1825.9779487599289</v>
      </c>
      <c r="L122" s="76">
        <v>1839.9386209000986</v>
      </c>
      <c r="M122" s="76">
        <v>1854.5277868675996</v>
      </c>
      <c r="N122" s="76">
        <v>1869.5539382189233</v>
      </c>
      <c r="O122" s="76">
        <v>1884.9974654950515</v>
      </c>
      <c r="P122" s="76">
        <v>1899.7778918020094</v>
      </c>
      <c r="Q122" s="76">
        <v>1915.1759248278674</v>
      </c>
      <c r="R122" s="76">
        <v>1932.2079862749943</v>
      </c>
      <c r="S122" s="76">
        <v>1949.5671409918552</v>
      </c>
      <c r="T122" s="76">
        <v>1967.3081613344916</v>
      </c>
      <c r="U122" s="76">
        <v>1985.4392594472122</v>
      </c>
      <c r="V122" s="76">
        <v>2004.2819976534163</v>
      </c>
    </row>
    <row r="123" spans="1:22" x14ac:dyDescent="0.3">
      <c r="A123" s="3" t="str">
        <f>INDEX(Mapping!$Y:$Y,MATCH($C123,Mapping!$W:$W,0))</f>
        <v>Metro</v>
      </c>
      <c r="B123" s="3" t="str">
        <f>INDEX(Mapping!$V:$V,MATCH(C123,Mapping!$W:$W,0))</f>
        <v>SEV</v>
      </c>
      <c r="C123" t="s">
        <v>153</v>
      </c>
      <c r="D123">
        <v>1</v>
      </c>
      <c r="E123" s="20"/>
      <c r="F123" s="76">
        <v>1586.3074105381797</v>
      </c>
      <c r="G123" s="76">
        <v>1651.3998309382926</v>
      </c>
      <c r="H123" s="76">
        <v>1682.152155536771</v>
      </c>
      <c r="I123" s="76">
        <v>1633.1394759087066</v>
      </c>
      <c r="J123" s="76">
        <v>1796.7257759855943</v>
      </c>
      <c r="K123" s="76">
        <v>1810.5426537253991</v>
      </c>
      <c r="L123" s="76">
        <v>1825.9779487599289</v>
      </c>
      <c r="M123" s="76">
        <v>1839.9386209000986</v>
      </c>
      <c r="N123" s="76">
        <v>1854.5277868675996</v>
      </c>
      <c r="O123" s="76">
        <v>1869.5539382189233</v>
      </c>
      <c r="P123" s="76">
        <v>1884.9974654950515</v>
      </c>
      <c r="Q123" s="76">
        <v>1899.7778918020094</v>
      </c>
      <c r="R123" s="76">
        <v>1915.1759248278674</v>
      </c>
      <c r="S123" s="76">
        <v>1932.2079862749943</v>
      </c>
      <c r="T123" s="76">
        <v>1949.5671409918552</v>
      </c>
      <c r="U123" s="76">
        <v>1967.3081613344916</v>
      </c>
      <c r="V123" s="76">
        <v>1985.4392594472122</v>
      </c>
    </row>
    <row r="124" spans="1:22" x14ac:dyDescent="0.3">
      <c r="A124" s="3" t="str">
        <f>INDEX(Mapping!$Y:$Y,MATCH($C124,Mapping!$W:$W,0))</f>
        <v>Metro</v>
      </c>
      <c r="B124" s="3" t="str">
        <f>INDEX(Mapping!$V:$V,MATCH(C124,Mapping!$W:$W,0))</f>
        <v>SEV</v>
      </c>
      <c r="C124" t="s">
        <v>153</v>
      </c>
      <c r="D124">
        <v>2</v>
      </c>
      <c r="E124" s="20"/>
      <c r="F124" s="76">
        <v>1562.7613412228798</v>
      </c>
      <c r="G124" s="76">
        <v>1626.8875739644971</v>
      </c>
      <c r="H124" s="76">
        <v>1657.1834319526629</v>
      </c>
      <c r="I124" s="76">
        <v>1682.152155536771</v>
      </c>
      <c r="J124" s="76">
        <v>1633.1394759087066</v>
      </c>
      <c r="K124" s="76">
        <v>1796.7257759855943</v>
      </c>
      <c r="L124" s="76">
        <v>1810.5426537253991</v>
      </c>
      <c r="M124" s="76">
        <v>1825.9779487599289</v>
      </c>
      <c r="N124" s="76">
        <v>1839.9386209000986</v>
      </c>
      <c r="O124" s="76">
        <v>1854.5277868675996</v>
      </c>
      <c r="P124" s="76">
        <v>1869.5539382189233</v>
      </c>
      <c r="Q124" s="76">
        <v>1884.9974654950515</v>
      </c>
      <c r="R124" s="76">
        <v>1899.7778918020094</v>
      </c>
      <c r="S124" s="76">
        <v>1915.1759248278674</v>
      </c>
      <c r="T124" s="76">
        <v>1932.2079862749943</v>
      </c>
      <c r="U124" s="76">
        <v>1949.5671409918552</v>
      </c>
      <c r="V124" s="76">
        <v>1967.3081613344916</v>
      </c>
    </row>
    <row r="125" spans="1:22" x14ac:dyDescent="0.3">
      <c r="A125" s="3" t="str">
        <f>INDEX(Mapping!$Y:$Y,MATCH($C125,Mapping!$W:$W,0))</f>
        <v>Metro</v>
      </c>
      <c r="B125" s="3" t="str">
        <f>INDEX(Mapping!$V:$V,MATCH(C125,Mapping!$W:$W,0))</f>
        <v>SEV</v>
      </c>
      <c r="C125" t="s">
        <v>153</v>
      </c>
      <c r="D125">
        <v>3</v>
      </c>
      <c r="E125" s="20"/>
      <c r="F125" s="76">
        <v>1601.1327134404057</v>
      </c>
      <c r="G125" s="76">
        <v>1666.8334742180896</v>
      </c>
      <c r="H125" s="76">
        <v>1697.8732037193577</v>
      </c>
      <c r="I125" s="76">
        <v>1657.1834319526629</v>
      </c>
      <c r="J125" s="76">
        <v>1682.152155536771</v>
      </c>
      <c r="K125" s="76">
        <v>1633.1394759087066</v>
      </c>
      <c r="L125" s="76">
        <v>1796.7257759855943</v>
      </c>
      <c r="M125" s="76">
        <v>1810.5426537253991</v>
      </c>
      <c r="N125" s="76">
        <v>1825.9779487599289</v>
      </c>
      <c r="O125" s="76">
        <v>1839.9386209000986</v>
      </c>
      <c r="P125" s="76">
        <v>1854.5277868675996</v>
      </c>
      <c r="Q125" s="76">
        <v>1869.5539382189233</v>
      </c>
      <c r="R125" s="76">
        <v>1884.9974654950515</v>
      </c>
      <c r="S125" s="76">
        <v>1899.7778918020094</v>
      </c>
      <c r="T125" s="76">
        <v>1915.1759248278674</v>
      </c>
      <c r="U125" s="76">
        <v>1932.2079862749943</v>
      </c>
      <c r="V125" s="76">
        <v>1949.5671409918552</v>
      </c>
    </row>
    <row r="126" spans="1:22" x14ac:dyDescent="0.3">
      <c r="A126" s="3" t="str">
        <f>INDEX(Mapping!$Y:$Y,MATCH($C126,Mapping!$W:$W,0))</f>
        <v>Metro</v>
      </c>
      <c r="B126" s="3" t="str">
        <f>INDEX(Mapping!$V:$V,MATCH(C126,Mapping!$W:$W,0))</f>
        <v>SEV</v>
      </c>
      <c r="C126" t="s">
        <v>153</v>
      </c>
      <c r="D126">
        <v>4</v>
      </c>
      <c r="E126" s="20"/>
      <c r="F126" s="76">
        <v>1580.2028740490277</v>
      </c>
      <c r="G126" s="76">
        <v>1645.0448013524936</v>
      </c>
      <c r="H126" s="76">
        <v>1675.6787827557057</v>
      </c>
      <c r="I126" s="76">
        <v>1697.8732037193577</v>
      </c>
      <c r="J126" s="76">
        <v>1657.1834319526629</v>
      </c>
      <c r="K126" s="76">
        <v>1682.152155536771</v>
      </c>
      <c r="L126" s="76">
        <v>1633.1394759087066</v>
      </c>
      <c r="M126" s="76">
        <v>1796.7257759855943</v>
      </c>
      <c r="N126" s="76">
        <v>1810.5426537253991</v>
      </c>
      <c r="O126" s="76">
        <v>1825.9779487599289</v>
      </c>
      <c r="P126" s="76">
        <v>1839.9386209000986</v>
      </c>
      <c r="Q126" s="76">
        <v>1854.5277868675996</v>
      </c>
      <c r="R126" s="76">
        <v>1869.5539382189233</v>
      </c>
      <c r="S126" s="76">
        <v>1884.9974654950515</v>
      </c>
      <c r="T126" s="76">
        <v>1899.7778918020094</v>
      </c>
      <c r="U126" s="76">
        <v>1915.1759248278674</v>
      </c>
      <c r="V126" s="76">
        <v>1932.2079862749943</v>
      </c>
    </row>
    <row r="127" spans="1:22" x14ac:dyDescent="0.3">
      <c r="A127" s="3" t="str">
        <f>INDEX(Mapping!$Y:$Y,MATCH($C127,Mapping!$W:$W,0))</f>
        <v>Metro</v>
      </c>
      <c r="B127" s="3" t="str">
        <f>INDEX(Mapping!$V:$V,MATCH(C127,Mapping!$W:$W,0))</f>
        <v>SEV</v>
      </c>
      <c r="C127" t="s">
        <v>153</v>
      </c>
      <c r="D127">
        <v>5</v>
      </c>
      <c r="E127" s="20"/>
      <c r="F127" s="76">
        <v>1341.2311449234526</v>
      </c>
      <c r="G127" s="76">
        <v>1337.1178735794122</v>
      </c>
      <c r="H127" s="76">
        <v>1330.7194514886824</v>
      </c>
      <c r="I127" s="76">
        <v>1675.6787827557057</v>
      </c>
      <c r="J127" s="76">
        <v>1697.8732037193577</v>
      </c>
      <c r="K127" s="76">
        <v>1657.1834319526629</v>
      </c>
      <c r="L127" s="76">
        <v>1682.152155536771</v>
      </c>
      <c r="M127" s="76">
        <v>1633.1394759087066</v>
      </c>
      <c r="N127" s="76">
        <v>1796.7257759855943</v>
      </c>
      <c r="O127" s="76">
        <v>1810.5426537253991</v>
      </c>
      <c r="P127" s="76">
        <v>1825.9779487599289</v>
      </c>
      <c r="Q127" s="76">
        <v>1839.9386209000986</v>
      </c>
      <c r="R127" s="76">
        <v>1854.5277868675996</v>
      </c>
      <c r="S127" s="76">
        <v>1869.5539382189233</v>
      </c>
      <c r="T127" s="76">
        <v>1884.9974654950515</v>
      </c>
      <c r="U127" s="76">
        <v>1899.7778918020094</v>
      </c>
      <c r="V127" s="76">
        <v>1915.1759248278674</v>
      </c>
    </row>
    <row r="128" spans="1:22" x14ac:dyDescent="0.3">
      <c r="A128" s="3" t="str">
        <f>INDEX(Mapping!$Y:$Y,MATCH($C128,Mapping!$W:$W,0))</f>
        <v>Rural</v>
      </c>
      <c r="B128" s="3" t="str">
        <f>INDEX(Mapping!$V:$V,MATCH(C128,Mapping!$W:$W,0))</f>
        <v>NWV</v>
      </c>
      <c r="C128" t="s">
        <v>135</v>
      </c>
      <c r="D128">
        <v>0</v>
      </c>
      <c r="E128" s="20"/>
      <c r="F128" s="76">
        <v>92.602523659305987</v>
      </c>
      <c r="G128" s="76">
        <v>89.678233438485805</v>
      </c>
      <c r="H128" s="76">
        <v>90.165615141955826</v>
      </c>
      <c r="I128" s="76">
        <v>88.326163332518263</v>
      </c>
      <c r="J128" s="76">
        <v>87.567890820863582</v>
      </c>
      <c r="K128" s="76">
        <v>86.876946845383145</v>
      </c>
      <c r="L128" s="76">
        <v>86.183127631050283</v>
      </c>
      <c r="M128" s="76">
        <v>85.478081659827708</v>
      </c>
      <c r="N128" s="76">
        <v>84.78562888149132</v>
      </c>
      <c r="O128" s="76">
        <v>84.091522980417153</v>
      </c>
      <c r="P128" s="76">
        <v>83.420436313564835</v>
      </c>
      <c r="Q128" s="76">
        <v>82.752774393275999</v>
      </c>
      <c r="R128" s="76">
        <v>82.121110785715146</v>
      </c>
      <c r="S128" s="76">
        <v>81.497696595135096</v>
      </c>
      <c r="T128" s="76">
        <v>80.870516338752424</v>
      </c>
      <c r="U128" s="76">
        <v>80.239044984066695</v>
      </c>
      <c r="V128" s="76">
        <v>79.613080615660607</v>
      </c>
    </row>
    <row r="129" spans="1:22" x14ac:dyDescent="0.3">
      <c r="A129" s="3" t="str">
        <f>INDEX(Mapping!$Y:$Y,MATCH($C129,Mapping!$W:$W,0))</f>
        <v>Rural</v>
      </c>
      <c r="B129" s="3" t="str">
        <f>INDEX(Mapping!$V:$V,MATCH(C129,Mapping!$W:$W,0))</f>
        <v>NWV</v>
      </c>
      <c r="C129" t="s">
        <v>135</v>
      </c>
      <c r="D129">
        <v>1</v>
      </c>
      <c r="E129" s="20"/>
      <c r="F129" s="76">
        <v>91.703470031545734</v>
      </c>
      <c r="G129" s="76">
        <v>88.807570977917976</v>
      </c>
      <c r="H129" s="76">
        <v>89.290220820189276</v>
      </c>
      <c r="I129" s="76">
        <v>90.165615141955826</v>
      </c>
      <c r="J129" s="76">
        <v>88.326163332518263</v>
      </c>
      <c r="K129" s="76">
        <v>87.567890820863582</v>
      </c>
      <c r="L129" s="76">
        <v>86.876946845383145</v>
      </c>
      <c r="M129" s="76">
        <v>86.183127631050283</v>
      </c>
      <c r="N129" s="76">
        <v>85.478081659827708</v>
      </c>
      <c r="O129" s="76">
        <v>84.78562888149132</v>
      </c>
      <c r="P129" s="76">
        <v>84.091522980417153</v>
      </c>
      <c r="Q129" s="76">
        <v>83.420436313564835</v>
      </c>
      <c r="R129" s="76">
        <v>82.752774393275999</v>
      </c>
      <c r="S129" s="76">
        <v>82.121110785715146</v>
      </c>
      <c r="T129" s="76">
        <v>81.497696595135096</v>
      </c>
      <c r="U129" s="76">
        <v>80.870516338752424</v>
      </c>
      <c r="V129" s="76">
        <v>80.239044984066695</v>
      </c>
    </row>
    <row r="130" spans="1:22" x14ac:dyDescent="0.3">
      <c r="A130" s="3" t="str">
        <f>INDEX(Mapping!$Y:$Y,MATCH($C130,Mapping!$W:$W,0))</f>
        <v>Rural</v>
      </c>
      <c r="B130" s="3" t="str">
        <f>INDEX(Mapping!$V:$V,MATCH(C130,Mapping!$W:$W,0))</f>
        <v>NWV</v>
      </c>
      <c r="C130" t="s">
        <v>135</v>
      </c>
      <c r="D130">
        <v>2</v>
      </c>
      <c r="E130" s="20"/>
      <c r="F130" s="76">
        <v>97.097791798107252</v>
      </c>
      <c r="G130" s="76">
        <v>94.031545741324919</v>
      </c>
      <c r="H130" s="76">
        <v>94.542586750788644</v>
      </c>
      <c r="I130" s="76">
        <v>89.290220820189276</v>
      </c>
      <c r="J130" s="76">
        <v>90.165615141955826</v>
      </c>
      <c r="K130" s="76">
        <v>88.326163332518263</v>
      </c>
      <c r="L130" s="76">
        <v>87.567890820863582</v>
      </c>
      <c r="M130" s="76">
        <v>86.876946845383145</v>
      </c>
      <c r="N130" s="76">
        <v>86.183127631050283</v>
      </c>
      <c r="O130" s="76">
        <v>85.478081659827708</v>
      </c>
      <c r="P130" s="76">
        <v>84.78562888149132</v>
      </c>
      <c r="Q130" s="76">
        <v>84.091522980417153</v>
      </c>
      <c r="R130" s="76">
        <v>83.420436313564835</v>
      </c>
      <c r="S130" s="76">
        <v>82.752774393275999</v>
      </c>
      <c r="T130" s="76">
        <v>82.121110785715146</v>
      </c>
      <c r="U130" s="76">
        <v>81.497696595135096</v>
      </c>
      <c r="V130" s="76">
        <v>80.870516338752424</v>
      </c>
    </row>
    <row r="131" spans="1:22" x14ac:dyDescent="0.3">
      <c r="A131" s="3" t="str">
        <f>INDEX(Mapping!$Y:$Y,MATCH($C131,Mapping!$W:$W,0))</f>
        <v>Rural</v>
      </c>
      <c r="B131" s="3" t="str">
        <f>INDEX(Mapping!$V:$V,MATCH(C131,Mapping!$W:$W,0))</f>
        <v>NWV</v>
      </c>
      <c r="C131" t="s">
        <v>135</v>
      </c>
      <c r="D131">
        <v>3</v>
      </c>
      <c r="E131" s="20"/>
      <c r="F131" s="76">
        <v>87.208201892744469</v>
      </c>
      <c r="G131" s="76">
        <v>84.454258675078862</v>
      </c>
      <c r="H131" s="76">
        <v>84.913249211356458</v>
      </c>
      <c r="I131" s="76">
        <v>94.542586750788644</v>
      </c>
      <c r="J131" s="76">
        <v>89.290220820189276</v>
      </c>
      <c r="K131" s="76">
        <v>90.165615141955826</v>
      </c>
      <c r="L131" s="76">
        <v>88.326163332518263</v>
      </c>
      <c r="M131" s="76">
        <v>87.567890820863582</v>
      </c>
      <c r="N131" s="76">
        <v>86.876946845383145</v>
      </c>
      <c r="O131" s="76">
        <v>86.183127631050283</v>
      </c>
      <c r="P131" s="76">
        <v>85.478081659827708</v>
      </c>
      <c r="Q131" s="76">
        <v>84.78562888149132</v>
      </c>
      <c r="R131" s="76">
        <v>84.091522980417153</v>
      </c>
      <c r="S131" s="76">
        <v>83.420436313564835</v>
      </c>
      <c r="T131" s="76">
        <v>82.752774393275999</v>
      </c>
      <c r="U131" s="76">
        <v>82.121110785715146</v>
      </c>
      <c r="V131" s="76">
        <v>81.497696595135096</v>
      </c>
    </row>
    <row r="132" spans="1:22" x14ac:dyDescent="0.3">
      <c r="A132" s="3" t="str">
        <f>INDEX(Mapping!$Y:$Y,MATCH($C132,Mapping!$W:$W,0))</f>
        <v>Rural</v>
      </c>
      <c r="B132" s="3" t="str">
        <f>INDEX(Mapping!$V:$V,MATCH(C132,Mapping!$W:$W,0))</f>
        <v>NWV</v>
      </c>
      <c r="C132" t="s">
        <v>135</v>
      </c>
      <c r="D132">
        <v>4</v>
      </c>
      <c r="E132" s="20"/>
      <c r="F132" s="76">
        <v>92.602523659305987</v>
      </c>
      <c r="G132" s="76">
        <v>89.678233438485805</v>
      </c>
      <c r="H132" s="76">
        <v>90.165615141955826</v>
      </c>
      <c r="I132" s="76">
        <v>84.913249211356458</v>
      </c>
      <c r="J132" s="76">
        <v>94.542586750788644</v>
      </c>
      <c r="K132" s="76">
        <v>89.290220820189276</v>
      </c>
      <c r="L132" s="76">
        <v>90.165615141955826</v>
      </c>
      <c r="M132" s="76">
        <v>88.326163332518263</v>
      </c>
      <c r="N132" s="76">
        <v>87.567890820863582</v>
      </c>
      <c r="O132" s="76">
        <v>86.876946845383145</v>
      </c>
      <c r="P132" s="76">
        <v>86.183127631050283</v>
      </c>
      <c r="Q132" s="76">
        <v>85.478081659827708</v>
      </c>
      <c r="R132" s="76">
        <v>84.78562888149132</v>
      </c>
      <c r="S132" s="76">
        <v>84.091522980417153</v>
      </c>
      <c r="T132" s="76">
        <v>83.420436313564835</v>
      </c>
      <c r="U132" s="76">
        <v>82.752774393275999</v>
      </c>
      <c r="V132" s="76">
        <v>82.121110785715146</v>
      </c>
    </row>
    <row r="133" spans="1:22" x14ac:dyDescent="0.3">
      <c r="A133" s="3" t="str">
        <f>INDEX(Mapping!$Y:$Y,MATCH($C133,Mapping!$W:$W,0))</f>
        <v>Rural</v>
      </c>
      <c r="B133" s="3" t="str">
        <f>INDEX(Mapping!$V:$V,MATCH(C133,Mapping!$W:$W,0))</f>
        <v>NWV</v>
      </c>
      <c r="C133" t="s">
        <v>135</v>
      </c>
      <c r="D133">
        <v>5</v>
      </c>
      <c r="E133" s="20"/>
      <c r="F133" s="76">
        <v>116.03785488958991</v>
      </c>
      <c r="G133" s="76">
        <v>118.51892744479495</v>
      </c>
      <c r="H133" s="76">
        <v>113.9384858044164</v>
      </c>
      <c r="I133" s="76">
        <v>90.165615141955826</v>
      </c>
      <c r="J133" s="76">
        <v>84.913249211356458</v>
      </c>
      <c r="K133" s="76">
        <v>94.542586750788644</v>
      </c>
      <c r="L133" s="76">
        <v>89.290220820189276</v>
      </c>
      <c r="M133" s="76">
        <v>90.165615141955826</v>
      </c>
      <c r="N133" s="76">
        <v>88.326163332518263</v>
      </c>
      <c r="O133" s="76">
        <v>87.567890820863582</v>
      </c>
      <c r="P133" s="76">
        <v>86.876946845383145</v>
      </c>
      <c r="Q133" s="76">
        <v>86.183127631050283</v>
      </c>
      <c r="R133" s="76">
        <v>85.478081659827708</v>
      </c>
      <c r="S133" s="76">
        <v>84.78562888149132</v>
      </c>
      <c r="T133" s="76">
        <v>84.091522980417153</v>
      </c>
      <c r="U133" s="76">
        <v>83.420436313564835</v>
      </c>
      <c r="V133" s="76">
        <v>82.752774393275999</v>
      </c>
    </row>
    <row r="134" spans="1:22" x14ac:dyDescent="0.3">
      <c r="A134" s="3" t="str">
        <f>INDEX(Mapping!$Y:$Y,MATCH($C134,Mapping!$W:$W,0))</f>
        <v>Metro</v>
      </c>
      <c r="B134" s="3" t="str">
        <f>INDEX(Mapping!$V:$V,MATCH(C134,Mapping!$W:$W,0))</f>
        <v>SEV</v>
      </c>
      <c r="C134" t="s">
        <v>154</v>
      </c>
      <c r="D134">
        <v>0</v>
      </c>
      <c r="E134" s="20"/>
      <c r="F134" s="76">
        <v>1457.9878437047757</v>
      </c>
      <c r="G134" s="76">
        <v>1466.9296671490595</v>
      </c>
      <c r="H134" s="76">
        <v>1488.5782923299566</v>
      </c>
      <c r="I134" s="76">
        <v>1742.5080374048284</v>
      </c>
      <c r="J134" s="76">
        <v>1757.5336519845591</v>
      </c>
      <c r="K134" s="76">
        <v>1773.2582739355485</v>
      </c>
      <c r="L134" s="76">
        <v>1788.5803736692121</v>
      </c>
      <c r="M134" s="76">
        <v>1803.8910266217081</v>
      </c>
      <c r="N134" s="76">
        <v>1818.9068843683626</v>
      </c>
      <c r="O134" s="76">
        <v>1834.7236772798369</v>
      </c>
      <c r="P134" s="76">
        <v>1850.4732852800666</v>
      </c>
      <c r="Q134" s="76">
        <v>1866.6991793300399</v>
      </c>
      <c r="R134" s="76">
        <v>1883.5342185102522</v>
      </c>
      <c r="S134" s="76">
        <v>1900.8128946664644</v>
      </c>
      <c r="T134" s="76">
        <v>1918.0128612008953</v>
      </c>
      <c r="U134" s="76">
        <v>1935.7018784450888</v>
      </c>
      <c r="V134" s="76">
        <v>1953.9887241659262</v>
      </c>
    </row>
    <row r="135" spans="1:22" x14ac:dyDescent="0.3">
      <c r="A135" s="3" t="str">
        <f>INDEX(Mapping!$Y:$Y,MATCH($C135,Mapping!$W:$W,0))</f>
        <v>Metro</v>
      </c>
      <c r="B135" s="3" t="str">
        <f>INDEX(Mapping!$V:$V,MATCH(C135,Mapping!$W:$W,0))</f>
        <v>SEV</v>
      </c>
      <c r="C135" t="s">
        <v>154</v>
      </c>
      <c r="D135">
        <v>1</v>
      </c>
      <c r="E135" s="20"/>
      <c r="F135" s="76">
        <v>1543.1716353111433</v>
      </c>
      <c r="G135" s="76">
        <v>1552.6358900144717</v>
      </c>
      <c r="H135" s="76">
        <v>1575.5493487698986</v>
      </c>
      <c r="I135" s="76">
        <v>1488.5782923299566</v>
      </c>
      <c r="J135" s="76">
        <v>1742.5080374048284</v>
      </c>
      <c r="K135" s="76">
        <v>1757.5336519845591</v>
      </c>
      <c r="L135" s="76">
        <v>1773.2582739355485</v>
      </c>
      <c r="M135" s="76">
        <v>1788.5803736692121</v>
      </c>
      <c r="N135" s="76">
        <v>1803.8910266217081</v>
      </c>
      <c r="O135" s="76">
        <v>1818.9068843683626</v>
      </c>
      <c r="P135" s="76">
        <v>1834.7236772798369</v>
      </c>
      <c r="Q135" s="76">
        <v>1850.4732852800666</v>
      </c>
      <c r="R135" s="76">
        <v>1866.6991793300399</v>
      </c>
      <c r="S135" s="76">
        <v>1883.5342185102522</v>
      </c>
      <c r="T135" s="76">
        <v>1900.8128946664644</v>
      </c>
      <c r="U135" s="76">
        <v>1918.0128612008953</v>
      </c>
      <c r="V135" s="76">
        <v>1935.7018784450888</v>
      </c>
    </row>
    <row r="136" spans="1:22" x14ac:dyDescent="0.3">
      <c r="A136" s="3" t="str">
        <f>INDEX(Mapping!$Y:$Y,MATCH($C136,Mapping!$W:$W,0))</f>
        <v>Metro</v>
      </c>
      <c r="B136" s="3" t="str">
        <f>INDEX(Mapping!$V:$V,MATCH(C136,Mapping!$W:$W,0))</f>
        <v>SEV</v>
      </c>
      <c r="C136" t="s">
        <v>154</v>
      </c>
      <c r="D136">
        <v>2</v>
      </c>
      <c r="E136" s="20"/>
      <c r="F136" s="76">
        <v>1522.5481910274964</v>
      </c>
      <c r="G136" s="76">
        <v>1531.885962373372</v>
      </c>
      <c r="H136" s="76">
        <v>1554.4931982633866</v>
      </c>
      <c r="I136" s="76">
        <v>1575.5493487698986</v>
      </c>
      <c r="J136" s="76">
        <v>1488.5782923299566</v>
      </c>
      <c r="K136" s="76">
        <v>1742.5080374048284</v>
      </c>
      <c r="L136" s="76">
        <v>1757.5336519845591</v>
      </c>
      <c r="M136" s="76">
        <v>1773.2582739355485</v>
      </c>
      <c r="N136" s="76">
        <v>1788.5803736692121</v>
      </c>
      <c r="O136" s="76">
        <v>1803.8910266217081</v>
      </c>
      <c r="P136" s="76">
        <v>1818.9068843683626</v>
      </c>
      <c r="Q136" s="76">
        <v>1834.7236772798369</v>
      </c>
      <c r="R136" s="76">
        <v>1850.4732852800666</v>
      </c>
      <c r="S136" s="76">
        <v>1866.6991793300399</v>
      </c>
      <c r="T136" s="76">
        <v>1883.5342185102522</v>
      </c>
      <c r="U136" s="76">
        <v>1900.8128946664644</v>
      </c>
      <c r="V136" s="76">
        <v>1918.0128612008953</v>
      </c>
    </row>
    <row r="137" spans="1:22" x14ac:dyDescent="0.3">
      <c r="A137" s="3" t="str">
        <f>INDEX(Mapping!$Y:$Y,MATCH($C137,Mapping!$W:$W,0))</f>
        <v>Metro</v>
      </c>
      <c r="B137" s="3" t="str">
        <f>INDEX(Mapping!$V:$V,MATCH(C137,Mapping!$W:$W,0))</f>
        <v>SEV</v>
      </c>
      <c r="C137" t="s">
        <v>154</v>
      </c>
      <c r="D137">
        <v>3</v>
      </c>
      <c r="E137" s="20"/>
      <c r="F137" s="76">
        <v>1611.3186685962373</v>
      </c>
      <c r="G137" s="76">
        <v>1621.2008683068018</v>
      </c>
      <c r="H137" s="76">
        <v>1645.1261939218523</v>
      </c>
      <c r="I137" s="76">
        <v>1554.4931982633866</v>
      </c>
      <c r="J137" s="76">
        <v>1575.5493487698986</v>
      </c>
      <c r="K137" s="76">
        <v>1488.5782923299566</v>
      </c>
      <c r="L137" s="76">
        <v>1742.5080374048284</v>
      </c>
      <c r="M137" s="76">
        <v>1757.5336519845591</v>
      </c>
      <c r="N137" s="76">
        <v>1773.2582739355485</v>
      </c>
      <c r="O137" s="76">
        <v>1788.5803736692121</v>
      </c>
      <c r="P137" s="76">
        <v>1803.8910266217081</v>
      </c>
      <c r="Q137" s="76">
        <v>1818.9068843683626</v>
      </c>
      <c r="R137" s="76">
        <v>1834.7236772798369</v>
      </c>
      <c r="S137" s="76">
        <v>1850.4732852800666</v>
      </c>
      <c r="T137" s="76">
        <v>1866.6991793300399</v>
      </c>
      <c r="U137" s="76">
        <v>1883.5342185102522</v>
      </c>
      <c r="V137" s="76">
        <v>1900.8128946664644</v>
      </c>
    </row>
    <row r="138" spans="1:22" x14ac:dyDescent="0.3">
      <c r="A138" s="3" t="str">
        <f>INDEX(Mapping!$Y:$Y,MATCH($C138,Mapping!$W:$W,0))</f>
        <v>Metro</v>
      </c>
      <c r="B138" s="3" t="str">
        <f>INDEX(Mapping!$V:$V,MATCH(C138,Mapping!$W:$W,0))</f>
        <v>SEV</v>
      </c>
      <c r="C138" t="s">
        <v>154</v>
      </c>
      <c r="D138">
        <v>4</v>
      </c>
      <c r="E138" s="20"/>
      <c r="F138" s="76">
        <v>1581.7285094066569</v>
      </c>
      <c r="G138" s="76">
        <v>1591.4292329956584</v>
      </c>
      <c r="H138" s="76">
        <v>1614.9151953690302</v>
      </c>
      <c r="I138" s="76">
        <v>1645.1261939218523</v>
      </c>
      <c r="J138" s="76">
        <v>1554.4931982633866</v>
      </c>
      <c r="K138" s="76">
        <v>1575.5493487698986</v>
      </c>
      <c r="L138" s="76">
        <v>1488.5782923299566</v>
      </c>
      <c r="M138" s="76">
        <v>1742.5080374048284</v>
      </c>
      <c r="N138" s="76">
        <v>1757.5336519845591</v>
      </c>
      <c r="O138" s="76">
        <v>1773.2582739355485</v>
      </c>
      <c r="P138" s="76">
        <v>1788.5803736692121</v>
      </c>
      <c r="Q138" s="76">
        <v>1803.8910266217081</v>
      </c>
      <c r="R138" s="76">
        <v>1818.9068843683626</v>
      </c>
      <c r="S138" s="76">
        <v>1834.7236772798369</v>
      </c>
      <c r="T138" s="76">
        <v>1850.4732852800666</v>
      </c>
      <c r="U138" s="76">
        <v>1866.6991793300399</v>
      </c>
      <c r="V138" s="76">
        <v>1883.5342185102522</v>
      </c>
    </row>
    <row r="139" spans="1:22" x14ac:dyDescent="0.3">
      <c r="A139" s="3" t="str">
        <f>INDEX(Mapping!$Y:$Y,MATCH($C139,Mapping!$W:$W,0))</f>
        <v>Metro</v>
      </c>
      <c r="B139" s="3" t="str">
        <f>INDEX(Mapping!$V:$V,MATCH(C139,Mapping!$W:$W,0))</f>
        <v>SEV</v>
      </c>
      <c r="C139" t="s">
        <v>154</v>
      </c>
      <c r="D139">
        <v>5</v>
      </c>
      <c r="E139" s="20"/>
      <c r="F139" s="76">
        <v>1580.808972503618</v>
      </c>
      <c r="G139" s="76">
        <v>1614.5804148576942</v>
      </c>
      <c r="H139" s="76">
        <v>1627.6477568740954</v>
      </c>
      <c r="I139" s="76">
        <v>1614.9151953690302</v>
      </c>
      <c r="J139" s="76">
        <v>1645.1261939218523</v>
      </c>
      <c r="K139" s="76">
        <v>1554.4931982633866</v>
      </c>
      <c r="L139" s="76">
        <v>1575.5493487698986</v>
      </c>
      <c r="M139" s="76">
        <v>1488.5782923299566</v>
      </c>
      <c r="N139" s="76">
        <v>1742.5080374048284</v>
      </c>
      <c r="O139" s="76">
        <v>1757.5336519845591</v>
      </c>
      <c r="P139" s="76">
        <v>1773.2582739355485</v>
      </c>
      <c r="Q139" s="76">
        <v>1788.5803736692121</v>
      </c>
      <c r="R139" s="76">
        <v>1803.8910266217081</v>
      </c>
      <c r="S139" s="76">
        <v>1818.9068843683626</v>
      </c>
      <c r="T139" s="76">
        <v>1834.7236772798369</v>
      </c>
      <c r="U139" s="76">
        <v>1850.4732852800666</v>
      </c>
      <c r="V139" s="76">
        <v>1866.6991793300399</v>
      </c>
    </row>
    <row r="140" spans="1:22" x14ac:dyDescent="0.3">
      <c r="A140" s="3" t="str">
        <f>INDEX(Mapping!$Y:$Y,MATCH($C140,Mapping!$W:$W,0))</f>
        <v>Rural</v>
      </c>
      <c r="B140" s="3" t="str">
        <f>INDEX(Mapping!$V:$V,MATCH(C140,Mapping!$W:$W,0))</f>
        <v>SWV</v>
      </c>
      <c r="C140" t="s">
        <v>168</v>
      </c>
      <c r="D140">
        <v>0</v>
      </c>
      <c r="E140" s="20"/>
      <c r="F140" s="76">
        <v>177.7739430543572</v>
      </c>
      <c r="G140" s="76">
        <v>184.74547023295946</v>
      </c>
      <c r="H140" s="76">
        <v>177.4253666954271</v>
      </c>
      <c r="I140" s="76">
        <v>188.14612504253304</v>
      </c>
      <c r="J140" s="76">
        <v>187.52236040042484</v>
      </c>
      <c r="K140" s="76">
        <v>186.97094113620958</v>
      </c>
      <c r="L140" s="76">
        <v>186.42928972840289</v>
      </c>
      <c r="M140" s="76">
        <v>185.89301971399254</v>
      </c>
      <c r="N140" s="76">
        <v>185.38221578941162</v>
      </c>
      <c r="O140" s="76">
        <v>184.90591967859805</v>
      </c>
      <c r="P140" s="76">
        <v>184.42887719791045</v>
      </c>
      <c r="Q140" s="76">
        <v>183.97718455796644</v>
      </c>
      <c r="R140" s="76">
        <v>183.54031468056786</v>
      </c>
      <c r="S140" s="76">
        <v>183.10330574656126</v>
      </c>
      <c r="T140" s="76">
        <v>182.66627880401188</v>
      </c>
      <c r="U140" s="76">
        <v>182.23014158706374</v>
      </c>
      <c r="V140" s="76">
        <v>181.79312888578235</v>
      </c>
    </row>
    <row r="141" spans="1:22" x14ac:dyDescent="0.3">
      <c r="A141" s="3" t="str">
        <f>INDEX(Mapping!$Y:$Y,MATCH($C141,Mapping!$W:$W,0))</f>
        <v>Rural</v>
      </c>
      <c r="B141" s="3" t="str">
        <f>INDEX(Mapping!$V:$V,MATCH(C141,Mapping!$W:$W,0))</f>
        <v>SWV</v>
      </c>
      <c r="C141" t="s">
        <v>168</v>
      </c>
      <c r="D141">
        <v>1</v>
      </c>
      <c r="E141" s="20"/>
      <c r="F141" s="76">
        <v>163.69283865401206</v>
      </c>
      <c r="G141" s="76">
        <v>170.11216566005174</v>
      </c>
      <c r="H141" s="76">
        <v>163.37187230371009</v>
      </c>
      <c r="I141" s="76">
        <v>177.4253666954271</v>
      </c>
      <c r="J141" s="76">
        <v>188.14612504253304</v>
      </c>
      <c r="K141" s="76">
        <v>187.52236040042484</v>
      </c>
      <c r="L141" s="76">
        <v>186.97094113620958</v>
      </c>
      <c r="M141" s="76">
        <v>186.42928972840289</v>
      </c>
      <c r="N141" s="76">
        <v>185.89301971399254</v>
      </c>
      <c r="O141" s="76">
        <v>185.38221578941162</v>
      </c>
      <c r="P141" s="76">
        <v>184.90591967859805</v>
      </c>
      <c r="Q141" s="76">
        <v>184.42887719791045</v>
      </c>
      <c r="R141" s="76">
        <v>183.97718455796644</v>
      </c>
      <c r="S141" s="76">
        <v>183.54031468056786</v>
      </c>
      <c r="T141" s="76">
        <v>183.10330574656126</v>
      </c>
      <c r="U141" s="76">
        <v>182.66627880401188</v>
      </c>
      <c r="V141" s="76">
        <v>182.23014158706374</v>
      </c>
    </row>
    <row r="142" spans="1:22" x14ac:dyDescent="0.3">
      <c r="A142" s="3" t="str">
        <f>INDEX(Mapping!$Y:$Y,MATCH($C142,Mapping!$W:$W,0))</f>
        <v>Rural</v>
      </c>
      <c r="B142" s="3" t="str">
        <f>INDEX(Mapping!$V:$V,MATCH(C142,Mapping!$W:$W,0))</f>
        <v>SWV</v>
      </c>
      <c r="C142" t="s">
        <v>168</v>
      </c>
      <c r="D142">
        <v>2</v>
      </c>
      <c r="E142" s="20"/>
      <c r="F142" s="76">
        <v>170.73339085418465</v>
      </c>
      <c r="G142" s="76">
        <v>177.42881794650563</v>
      </c>
      <c r="H142" s="76">
        <v>170.39861949956861</v>
      </c>
      <c r="I142" s="76">
        <v>163.37187230371009</v>
      </c>
      <c r="J142" s="76">
        <v>177.4253666954271</v>
      </c>
      <c r="K142" s="76">
        <v>188.14612504253304</v>
      </c>
      <c r="L142" s="76">
        <v>187.52236040042484</v>
      </c>
      <c r="M142" s="76">
        <v>186.97094113620958</v>
      </c>
      <c r="N142" s="76">
        <v>186.42928972840289</v>
      </c>
      <c r="O142" s="76">
        <v>185.89301971399254</v>
      </c>
      <c r="P142" s="76">
        <v>185.38221578941162</v>
      </c>
      <c r="Q142" s="76">
        <v>184.90591967859805</v>
      </c>
      <c r="R142" s="76">
        <v>184.42887719791045</v>
      </c>
      <c r="S142" s="76">
        <v>183.97718455796644</v>
      </c>
      <c r="T142" s="76">
        <v>183.54031468056786</v>
      </c>
      <c r="U142" s="76">
        <v>183.10330574656126</v>
      </c>
      <c r="V142" s="76">
        <v>182.66627880401188</v>
      </c>
    </row>
    <row r="143" spans="1:22" x14ac:dyDescent="0.3">
      <c r="A143" s="3" t="str">
        <f>INDEX(Mapping!$Y:$Y,MATCH($C143,Mapping!$W:$W,0))</f>
        <v>Rural</v>
      </c>
      <c r="B143" s="3" t="str">
        <f>INDEX(Mapping!$V:$V,MATCH(C143,Mapping!$W:$W,0))</f>
        <v>SWV</v>
      </c>
      <c r="C143" t="s">
        <v>168</v>
      </c>
      <c r="D143">
        <v>3</v>
      </c>
      <c r="E143" s="20"/>
      <c r="F143" s="76">
        <v>176.89387402933565</v>
      </c>
      <c r="G143" s="76">
        <v>183.83088869715272</v>
      </c>
      <c r="H143" s="76">
        <v>176.5470232959448</v>
      </c>
      <c r="I143" s="76">
        <v>170.39861949956861</v>
      </c>
      <c r="J143" s="76">
        <v>163.37187230371009</v>
      </c>
      <c r="K143" s="76">
        <v>177.4253666954271</v>
      </c>
      <c r="L143" s="76">
        <v>188.14612504253304</v>
      </c>
      <c r="M143" s="76">
        <v>187.52236040042484</v>
      </c>
      <c r="N143" s="76">
        <v>186.97094113620958</v>
      </c>
      <c r="O143" s="76">
        <v>186.42928972840289</v>
      </c>
      <c r="P143" s="76">
        <v>185.89301971399254</v>
      </c>
      <c r="Q143" s="76">
        <v>185.38221578941162</v>
      </c>
      <c r="R143" s="76">
        <v>184.90591967859805</v>
      </c>
      <c r="S143" s="76">
        <v>184.42887719791045</v>
      </c>
      <c r="T143" s="76">
        <v>183.97718455796644</v>
      </c>
      <c r="U143" s="76">
        <v>183.54031468056786</v>
      </c>
      <c r="V143" s="76">
        <v>183.10330574656126</v>
      </c>
    </row>
    <row r="144" spans="1:22" x14ac:dyDescent="0.3">
      <c r="A144" s="3" t="str">
        <f>INDEX(Mapping!$Y:$Y,MATCH($C144,Mapping!$W:$W,0))</f>
        <v>Rural</v>
      </c>
      <c r="B144" s="3" t="str">
        <f>INDEX(Mapping!$V:$V,MATCH(C144,Mapping!$W:$W,0))</f>
        <v>SWV</v>
      </c>
      <c r="C144" t="s">
        <v>168</v>
      </c>
      <c r="D144">
        <v>4</v>
      </c>
      <c r="E144" s="20"/>
      <c r="F144" s="76">
        <v>174.25366695427093</v>
      </c>
      <c r="G144" s="76">
        <v>181.08714408973253</v>
      </c>
      <c r="H144" s="76">
        <v>173.91199309749786</v>
      </c>
      <c r="I144" s="76">
        <v>176.5470232959448</v>
      </c>
      <c r="J144" s="76">
        <v>170.39861949956861</v>
      </c>
      <c r="K144" s="76">
        <v>163.37187230371009</v>
      </c>
      <c r="L144" s="76">
        <v>177.4253666954271</v>
      </c>
      <c r="M144" s="76">
        <v>188.14612504253304</v>
      </c>
      <c r="N144" s="76">
        <v>187.52236040042484</v>
      </c>
      <c r="O144" s="76">
        <v>186.97094113620958</v>
      </c>
      <c r="P144" s="76">
        <v>186.42928972840289</v>
      </c>
      <c r="Q144" s="76">
        <v>185.89301971399254</v>
      </c>
      <c r="R144" s="76">
        <v>185.38221578941162</v>
      </c>
      <c r="S144" s="76">
        <v>184.90591967859805</v>
      </c>
      <c r="T144" s="76">
        <v>184.42887719791045</v>
      </c>
      <c r="U144" s="76">
        <v>183.97718455796644</v>
      </c>
      <c r="V144" s="76">
        <v>183.54031468056786</v>
      </c>
    </row>
    <row r="145" spans="1:22" x14ac:dyDescent="0.3">
      <c r="A145" s="3" t="str">
        <f>INDEX(Mapping!$Y:$Y,MATCH($C145,Mapping!$W:$W,0))</f>
        <v>Rural</v>
      </c>
      <c r="B145" s="3" t="str">
        <f>INDEX(Mapping!$V:$V,MATCH(C145,Mapping!$W:$W,0))</f>
        <v>SWV</v>
      </c>
      <c r="C145" t="s">
        <v>168</v>
      </c>
      <c r="D145">
        <v>5</v>
      </c>
      <c r="E145" s="20"/>
      <c r="F145" s="76">
        <v>169.09232096635029</v>
      </c>
      <c r="G145" s="76">
        <v>163.56341673856772</v>
      </c>
      <c r="H145" s="76">
        <v>157.42018981880932</v>
      </c>
      <c r="I145" s="76">
        <v>173.91199309749786</v>
      </c>
      <c r="J145" s="76">
        <v>176.5470232959448</v>
      </c>
      <c r="K145" s="76">
        <v>170.39861949956861</v>
      </c>
      <c r="L145" s="76">
        <v>163.37187230371009</v>
      </c>
      <c r="M145" s="76">
        <v>177.4253666954271</v>
      </c>
      <c r="N145" s="76">
        <v>188.14612504253304</v>
      </c>
      <c r="O145" s="76">
        <v>187.52236040042484</v>
      </c>
      <c r="P145" s="76">
        <v>186.97094113620958</v>
      </c>
      <c r="Q145" s="76">
        <v>186.42928972840289</v>
      </c>
      <c r="R145" s="76">
        <v>185.89301971399254</v>
      </c>
      <c r="S145" s="76">
        <v>185.38221578941162</v>
      </c>
      <c r="T145" s="76">
        <v>184.90591967859805</v>
      </c>
      <c r="U145" s="76">
        <v>184.42887719791045</v>
      </c>
      <c r="V145" s="76">
        <v>183.97718455796644</v>
      </c>
    </row>
    <row r="146" spans="1:22" x14ac:dyDescent="0.3">
      <c r="A146" s="3" t="str">
        <f>INDEX(Mapping!$Y:$Y,MATCH($C146,Mapping!$W:$W,0))</f>
        <v>Rural</v>
      </c>
      <c r="B146" s="3" t="str">
        <f>INDEX(Mapping!$V:$V,MATCH(C146,Mapping!$W:$W,0))</f>
        <v>SWV</v>
      </c>
      <c r="C146" t="s">
        <v>169</v>
      </c>
      <c r="D146">
        <v>0</v>
      </c>
      <c r="E146" s="20"/>
      <c r="F146" s="76">
        <v>217.99371069182391</v>
      </c>
      <c r="G146" s="76">
        <v>219.72955974842768</v>
      </c>
      <c r="H146" s="76">
        <v>220.45283018867923</v>
      </c>
      <c r="I146" s="76">
        <v>248.02779714433726</v>
      </c>
      <c r="J146" s="76">
        <v>253.54063896825866</v>
      </c>
      <c r="K146" s="76">
        <v>259.15296554055044</v>
      </c>
      <c r="L146" s="76">
        <v>264.79197977141774</v>
      </c>
      <c r="M146" s="76">
        <v>270.58000560188208</v>
      </c>
      <c r="N146" s="76">
        <v>276.42278750467045</v>
      </c>
      <c r="O146" s="76">
        <v>282.29538924807849</v>
      </c>
      <c r="P146" s="76">
        <v>288.14943431734173</v>
      </c>
      <c r="Q146" s="76">
        <v>294.0200638178755</v>
      </c>
      <c r="R146" s="76">
        <v>300.08977138432925</v>
      </c>
      <c r="S146" s="76">
        <v>306.17141059266129</v>
      </c>
      <c r="T146" s="76">
        <v>312.24660097597229</v>
      </c>
      <c r="U146" s="76">
        <v>318.31525771152559</v>
      </c>
      <c r="V146" s="76">
        <v>324.36718287398554</v>
      </c>
    </row>
    <row r="147" spans="1:22" x14ac:dyDescent="0.3">
      <c r="A147" s="3" t="str">
        <f>INDEX(Mapping!$Y:$Y,MATCH($C147,Mapping!$W:$W,0))</f>
        <v>Rural</v>
      </c>
      <c r="B147" s="3" t="str">
        <f>INDEX(Mapping!$V:$V,MATCH(C147,Mapping!$W:$W,0))</f>
        <v>SWV</v>
      </c>
      <c r="C147" t="s">
        <v>169</v>
      </c>
      <c r="D147">
        <v>1</v>
      </c>
      <c r="E147" s="20"/>
      <c r="F147" s="76">
        <v>228.33333333333334</v>
      </c>
      <c r="G147" s="76">
        <v>230.15151515151516</v>
      </c>
      <c r="H147" s="76">
        <v>230.90909090909091</v>
      </c>
      <c r="I147" s="76">
        <v>220.45283018867923</v>
      </c>
      <c r="J147" s="76">
        <v>248.02779714433726</v>
      </c>
      <c r="K147" s="76">
        <v>253.54063896825866</v>
      </c>
      <c r="L147" s="76">
        <v>259.15296554055044</v>
      </c>
      <c r="M147" s="76">
        <v>264.79197977141774</v>
      </c>
      <c r="N147" s="76">
        <v>270.58000560188208</v>
      </c>
      <c r="O147" s="76">
        <v>276.42278750467045</v>
      </c>
      <c r="P147" s="76">
        <v>282.29538924807849</v>
      </c>
      <c r="Q147" s="76">
        <v>288.14943431734173</v>
      </c>
      <c r="R147" s="76">
        <v>294.0200638178755</v>
      </c>
      <c r="S147" s="76">
        <v>300.08977138432925</v>
      </c>
      <c r="T147" s="76">
        <v>306.17141059266129</v>
      </c>
      <c r="U147" s="76">
        <v>312.24660097597229</v>
      </c>
      <c r="V147" s="76">
        <v>318.31525771152559</v>
      </c>
    </row>
    <row r="148" spans="1:22" x14ac:dyDescent="0.3">
      <c r="A148" s="3" t="str">
        <f>INDEX(Mapping!$Y:$Y,MATCH($C148,Mapping!$W:$W,0))</f>
        <v>Rural</v>
      </c>
      <c r="B148" s="3" t="str">
        <f>INDEX(Mapping!$V:$V,MATCH(C148,Mapping!$W:$W,0))</f>
        <v>SWV</v>
      </c>
      <c r="C148" t="s">
        <v>169</v>
      </c>
      <c r="D148">
        <v>2</v>
      </c>
      <c r="E148" s="20"/>
      <c r="F148" s="76">
        <v>263.66037735849056</v>
      </c>
      <c r="G148" s="76">
        <v>265.75986277873068</v>
      </c>
      <c r="H148" s="76">
        <v>266.63464837049742</v>
      </c>
      <c r="I148" s="76">
        <v>230.90909090909091</v>
      </c>
      <c r="J148" s="76">
        <v>220.45283018867923</v>
      </c>
      <c r="K148" s="76">
        <v>248.02779714433726</v>
      </c>
      <c r="L148" s="76">
        <v>253.54063896825866</v>
      </c>
      <c r="M148" s="76">
        <v>259.15296554055044</v>
      </c>
      <c r="N148" s="76">
        <v>264.79197977141774</v>
      </c>
      <c r="O148" s="76">
        <v>270.58000560188208</v>
      </c>
      <c r="P148" s="76">
        <v>276.42278750467045</v>
      </c>
      <c r="Q148" s="76">
        <v>282.29538924807849</v>
      </c>
      <c r="R148" s="76">
        <v>288.14943431734173</v>
      </c>
      <c r="S148" s="76">
        <v>294.0200638178755</v>
      </c>
      <c r="T148" s="76">
        <v>300.08977138432925</v>
      </c>
      <c r="U148" s="76">
        <v>306.17141059266129</v>
      </c>
      <c r="V148" s="76">
        <v>312.24660097597229</v>
      </c>
    </row>
    <row r="149" spans="1:22" x14ac:dyDescent="0.3">
      <c r="A149" s="3" t="str">
        <f>INDEX(Mapping!$Y:$Y,MATCH($C149,Mapping!$W:$W,0))</f>
        <v>Rural</v>
      </c>
      <c r="B149" s="3" t="str">
        <f>INDEX(Mapping!$V:$V,MATCH(C149,Mapping!$W:$W,0))</f>
        <v>SWV</v>
      </c>
      <c r="C149" t="s">
        <v>169</v>
      </c>
      <c r="D149">
        <v>3</v>
      </c>
      <c r="E149" s="20"/>
      <c r="F149" s="76">
        <v>260.21383647798746</v>
      </c>
      <c r="G149" s="76">
        <v>262.28587764436821</v>
      </c>
      <c r="H149" s="76">
        <v>263.1492281303602</v>
      </c>
      <c r="I149" s="76">
        <v>266.63464837049742</v>
      </c>
      <c r="J149" s="76">
        <v>230.90909090909091</v>
      </c>
      <c r="K149" s="76">
        <v>220.45283018867923</v>
      </c>
      <c r="L149" s="76">
        <v>248.02779714433726</v>
      </c>
      <c r="M149" s="76">
        <v>253.54063896825866</v>
      </c>
      <c r="N149" s="76">
        <v>259.15296554055044</v>
      </c>
      <c r="O149" s="76">
        <v>264.79197977141774</v>
      </c>
      <c r="P149" s="76">
        <v>270.58000560188208</v>
      </c>
      <c r="Q149" s="76">
        <v>276.42278750467045</v>
      </c>
      <c r="R149" s="76">
        <v>282.29538924807849</v>
      </c>
      <c r="S149" s="76">
        <v>288.14943431734173</v>
      </c>
      <c r="T149" s="76">
        <v>294.0200638178755</v>
      </c>
      <c r="U149" s="76">
        <v>300.08977138432925</v>
      </c>
      <c r="V149" s="76">
        <v>306.17141059266129</v>
      </c>
    </row>
    <row r="150" spans="1:22" x14ac:dyDescent="0.3">
      <c r="A150" s="3" t="str">
        <f>INDEX(Mapping!$Y:$Y,MATCH($C150,Mapping!$W:$W,0))</f>
        <v>Rural</v>
      </c>
      <c r="B150" s="3" t="str">
        <f>INDEX(Mapping!$V:$V,MATCH(C150,Mapping!$W:$W,0))</f>
        <v>SWV</v>
      </c>
      <c r="C150" t="s">
        <v>169</v>
      </c>
      <c r="D150">
        <v>4</v>
      </c>
      <c r="E150" s="20"/>
      <c r="F150" s="76">
        <v>261.93710691823901</v>
      </c>
      <c r="G150" s="76">
        <v>264.02287021154945</v>
      </c>
      <c r="H150" s="76">
        <v>264.89193825042884</v>
      </c>
      <c r="I150" s="76">
        <v>263.1492281303602</v>
      </c>
      <c r="J150" s="76">
        <v>266.63464837049742</v>
      </c>
      <c r="K150" s="76">
        <v>230.90909090909091</v>
      </c>
      <c r="L150" s="76">
        <v>220.45283018867923</v>
      </c>
      <c r="M150" s="76">
        <v>248.02779714433726</v>
      </c>
      <c r="N150" s="76">
        <v>253.54063896825866</v>
      </c>
      <c r="O150" s="76">
        <v>259.15296554055044</v>
      </c>
      <c r="P150" s="76">
        <v>264.79197977141774</v>
      </c>
      <c r="Q150" s="76">
        <v>270.58000560188208</v>
      </c>
      <c r="R150" s="76">
        <v>276.42278750467045</v>
      </c>
      <c r="S150" s="76">
        <v>282.29538924807849</v>
      </c>
      <c r="T150" s="76">
        <v>288.14943431734173</v>
      </c>
      <c r="U150" s="76">
        <v>294.0200638178755</v>
      </c>
      <c r="V150" s="76">
        <v>300.08977138432925</v>
      </c>
    </row>
    <row r="151" spans="1:22" x14ac:dyDescent="0.3">
      <c r="A151" s="3" t="str">
        <f>INDEX(Mapping!$Y:$Y,MATCH($C151,Mapping!$W:$W,0))</f>
        <v>Rural</v>
      </c>
      <c r="B151" s="3" t="str">
        <f>INDEX(Mapping!$V:$V,MATCH(C151,Mapping!$W:$W,0))</f>
        <v>SWV</v>
      </c>
      <c r="C151" t="s">
        <v>169</v>
      </c>
      <c r="D151">
        <v>5</v>
      </c>
      <c r="E151" s="20"/>
      <c r="F151" s="76">
        <v>316.2641509433962</v>
      </c>
      <c r="G151" s="76">
        <v>328.30188679245282</v>
      </c>
      <c r="H151" s="76">
        <v>323.19496855345909</v>
      </c>
      <c r="I151" s="76">
        <v>264.89193825042884</v>
      </c>
      <c r="J151" s="76">
        <v>263.1492281303602</v>
      </c>
      <c r="K151" s="76">
        <v>266.63464837049742</v>
      </c>
      <c r="L151" s="76">
        <v>230.90909090909091</v>
      </c>
      <c r="M151" s="76">
        <v>220.45283018867923</v>
      </c>
      <c r="N151" s="76">
        <v>248.02779714433726</v>
      </c>
      <c r="O151" s="76">
        <v>253.54063896825866</v>
      </c>
      <c r="P151" s="76">
        <v>259.15296554055044</v>
      </c>
      <c r="Q151" s="76">
        <v>264.79197977141774</v>
      </c>
      <c r="R151" s="76">
        <v>270.58000560188208</v>
      </c>
      <c r="S151" s="76">
        <v>276.42278750467045</v>
      </c>
      <c r="T151" s="76">
        <v>282.29538924807849</v>
      </c>
      <c r="U151" s="76">
        <v>288.14943431734173</v>
      </c>
      <c r="V151" s="76">
        <v>294.0200638178755</v>
      </c>
    </row>
    <row r="152" spans="1:22" x14ac:dyDescent="0.3">
      <c r="A152" s="3" t="str">
        <f>INDEX(Mapping!$Y:$Y,MATCH($C152,Mapping!$W:$W,0))</f>
        <v>Rural</v>
      </c>
      <c r="B152" s="3" t="str">
        <f>INDEX(Mapping!$V:$V,MATCH(C152,Mapping!$W:$W,0))</f>
        <v>NWV</v>
      </c>
      <c r="C152" t="s">
        <v>136</v>
      </c>
      <c r="D152">
        <v>0</v>
      </c>
      <c r="E152" s="20"/>
      <c r="F152" s="76">
        <v>1104.9560517038778</v>
      </c>
      <c r="G152" s="76">
        <v>1145.1887191539365</v>
      </c>
      <c r="H152" s="76">
        <v>1136.3830787309048</v>
      </c>
      <c r="I152" s="76">
        <v>1326.6133669224596</v>
      </c>
      <c r="J152" s="76">
        <v>1353.0655798883445</v>
      </c>
      <c r="K152" s="76">
        <v>1378.8831729263268</v>
      </c>
      <c r="L152" s="76">
        <v>1404.682030545659</v>
      </c>
      <c r="M152" s="76">
        <v>1430.5376225088057</v>
      </c>
      <c r="N152" s="76">
        <v>1456.6170297562171</v>
      </c>
      <c r="O152" s="76">
        <v>1482.9415245927241</v>
      </c>
      <c r="P152" s="76">
        <v>1509.3302365383024</v>
      </c>
      <c r="Q152" s="76">
        <v>1535.9353036451557</v>
      </c>
      <c r="R152" s="76">
        <v>1562.5235531883411</v>
      </c>
      <c r="S152" s="76">
        <v>1589.1858005445231</v>
      </c>
      <c r="T152" s="76">
        <v>1615.9507006960762</v>
      </c>
      <c r="U152" s="76">
        <v>1642.7399765332814</v>
      </c>
      <c r="V152" s="76">
        <v>1669.536057656283</v>
      </c>
    </row>
    <row r="153" spans="1:22" x14ac:dyDescent="0.3">
      <c r="A153" s="3" t="str">
        <f>INDEX(Mapping!$Y:$Y,MATCH($C153,Mapping!$W:$W,0))</f>
        <v>Rural</v>
      </c>
      <c r="B153" s="3" t="str">
        <f>INDEX(Mapping!$V:$V,MATCH(C153,Mapping!$W:$W,0))</f>
        <v>NWV</v>
      </c>
      <c r="C153" t="s">
        <v>136</v>
      </c>
      <c r="D153">
        <v>1</v>
      </c>
      <c r="E153" s="20"/>
      <c r="F153" s="76">
        <v>1145.1518213866041</v>
      </c>
      <c r="G153" s="76">
        <v>1186.8480611045829</v>
      </c>
      <c r="H153" s="76">
        <v>1177.7220916568745</v>
      </c>
      <c r="I153" s="76">
        <v>1136.3830787309048</v>
      </c>
      <c r="J153" s="76">
        <v>1326.6133669224596</v>
      </c>
      <c r="K153" s="76">
        <v>1353.0655798883445</v>
      </c>
      <c r="L153" s="76">
        <v>1378.8831729263268</v>
      </c>
      <c r="M153" s="76">
        <v>1404.682030545659</v>
      </c>
      <c r="N153" s="76">
        <v>1430.5376225088057</v>
      </c>
      <c r="O153" s="76">
        <v>1456.6170297562171</v>
      </c>
      <c r="P153" s="76">
        <v>1482.9415245927241</v>
      </c>
      <c r="Q153" s="76">
        <v>1509.3302365383024</v>
      </c>
      <c r="R153" s="76">
        <v>1535.9353036451557</v>
      </c>
      <c r="S153" s="76">
        <v>1562.5235531883411</v>
      </c>
      <c r="T153" s="76">
        <v>1589.1858005445231</v>
      </c>
      <c r="U153" s="76">
        <v>1615.9507006960762</v>
      </c>
      <c r="V153" s="76">
        <v>1642.7399765332814</v>
      </c>
    </row>
    <row r="154" spans="1:22" x14ac:dyDescent="0.3">
      <c r="A154" s="3" t="str">
        <f>INDEX(Mapping!$Y:$Y,MATCH($C154,Mapping!$W:$W,0))</f>
        <v>Rural</v>
      </c>
      <c r="B154" s="3" t="str">
        <f>INDEX(Mapping!$V:$V,MATCH(C154,Mapping!$W:$W,0))</f>
        <v>NWV</v>
      </c>
      <c r="C154" t="s">
        <v>136</v>
      </c>
      <c r="D154">
        <v>2</v>
      </c>
      <c r="E154" s="20"/>
      <c r="F154" s="76">
        <v>1277.7123384253819</v>
      </c>
      <c r="G154" s="76">
        <v>1324.2352526439483</v>
      </c>
      <c r="H154" s="76">
        <v>1314.0528789659224</v>
      </c>
      <c r="I154" s="76">
        <v>1177.7220916568745</v>
      </c>
      <c r="J154" s="76">
        <v>1136.3830787309048</v>
      </c>
      <c r="K154" s="76">
        <v>1326.6133669224596</v>
      </c>
      <c r="L154" s="76">
        <v>1353.0655798883445</v>
      </c>
      <c r="M154" s="76">
        <v>1378.8831729263268</v>
      </c>
      <c r="N154" s="76">
        <v>1404.682030545659</v>
      </c>
      <c r="O154" s="76">
        <v>1430.5376225088057</v>
      </c>
      <c r="P154" s="76">
        <v>1456.6170297562171</v>
      </c>
      <c r="Q154" s="76">
        <v>1482.9415245927241</v>
      </c>
      <c r="R154" s="76">
        <v>1509.3302365383024</v>
      </c>
      <c r="S154" s="76">
        <v>1535.9353036451557</v>
      </c>
      <c r="T154" s="76">
        <v>1562.5235531883411</v>
      </c>
      <c r="U154" s="76">
        <v>1589.1858005445231</v>
      </c>
      <c r="V154" s="76">
        <v>1615.9507006960762</v>
      </c>
    </row>
    <row r="155" spans="1:22" x14ac:dyDescent="0.3">
      <c r="A155" s="3" t="str">
        <f>INDEX(Mapping!$Y:$Y,MATCH($C155,Mapping!$W:$W,0))</f>
        <v>Rural</v>
      </c>
      <c r="B155" s="3" t="str">
        <f>INDEX(Mapping!$V:$V,MATCH(C155,Mapping!$W:$W,0))</f>
        <v>NWV</v>
      </c>
      <c r="C155" t="s">
        <v>136</v>
      </c>
      <c r="D155">
        <v>3</v>
      </c>
      <c r="E155" s="20"/>
      <c r="F155" s="76">
        <v>1235.8061104582844</v>
      </c>
      <c r="G155" s="76">
        <v>1280.8031727379553</v>
      </c>
      <c r="H155" s="76">
        <v>1270.9547591069329</v>
      </c>
      <c r="I155" s="76">
        <v>1314.0528789659224</v>
      </c>
      <c r="J155" s="76">
        <v>1177.7220916568745</v>
      </c>
      <c r="K155" s="76">
        <v>1136.3830787309048</v>
      </c>
      <c r="L155" s="76">
        <v>1326.6133669224596</v>
      </c>
      <c r="M155" s="76">
        <v>1353.0655798883445</v>
      </c>
      <c r="N155" s="76">
        <v>1378.8831729263268</v>
      </c>
      <c r="O155" s="76">
        <v>1404.682030545659</v>
      </c>
      <c r="P155" s="76">
        <v>1430.5376225088057</v>
      </c>
      <c r="Q155" s="76">
        <v>1456.6170297562171</v>
      </c>
      <c r="R155" s="76">
        <v>1482.9415245927241</v>
      </c>
      <c r="S155" s="76">
        <v>1509.3302365383024</v>
      </c>
      <c r="T155" s="76">
        <v>1535.9353036451557</v>
      </c>
      <c r="U155" s="76">
        <v>1562.5235531883411</v>
      </c>
      <c r="V155" s="76">
        <v>1589.1858005445231</v>
      </c>
    </row>
    <row r="156" spans="1:22" x14ac:dyDescent="0.3">
      <c r="A156" s="3" t="str">
        <f>INDEX(Mapping!$Y:$Y,MATCH($C156,Mapping!$W:$W,0))</f>
        <v>Rural</v>
      </c>
      <c r="B156" s="3" t="str">
        <f>INDEX(Mapping!$V:$V,MATCH(C156,Mapping!$W:$W,0))</f>
        <v>NWV</v>
      </c>
      <c r="C156" t="s">
        <v>136</v>
      </c>
      <c r="D156">
        <v>4</v>
      </c>
      <c r="E156" s="20"/>
      <c r="F156" s="76">
        <v>1287.9750881316099</v>
      </c>
      <c r="G156" s="76">
        <v>1334.8716803760283</v>
      </c>
      <c r="H156" s="76">
        <v>1324.6075205640423</v>
      </c>
      <c r="I156" s="76">
        <v>1270.9547591069329</v>
      </c>
      <c r="J156" s="76">
        <v>1314.0528789659224</v>
      </c>
      <c r="K156" s="76">
        <v>1177.7220916568745</v>
      </c>
      <c r="L156" s="76">
        <v>1136.3830787309048</v>
      </c>
      <c r="M156" s="76">
        <v>1326.6133669224596</v>
      </c>
      <c r="N156" s="76">
        <v>1353.0655798883445</v>
      </c>
      <c r="O156" s="76">
        <v>1378.8831729263268</v>
      </c>
      <c r="P156" s="76">
        <v>1404.682030545659</v>
      </c>
      <c r="Q156" s="76">
        <v>1430.5376225088057</v>
      </c>
      <c r="R156" s="76">
        <v>1456.6170297562171</v>
      </c>
      <c r="S156" s="76">
        <v>1482.9415245927241</v>
      </c>
      <c r="T156" s="76">
        <v>1509.3302365383024</v>
      </c>
      <c r="U156" s="76">
        <v>1535.9353036451557</v>
      </c>
      <c r="V156" s="76">
        <v>1562.5235531883411</v>
      </c>
    </row>
    <row r="157" spans="1:22" x14ac:dyDescent="0.3">
      <c r="A157" s="3" t="str">
        <f>INDEX(Mapping!$Y:$Y,MATCH($C157,Mapping!$W:$W,0))</f>
        <v>Rural</v>
      </c>
      <c r="B157" s="3" t="str">
        <f>INDEX(Mapping!$V:$V,MATCH(C157,Mapping!$W:$W,0))</f>
        <v>NWV</v>
      </c>
      <c r="C157" t="s">
        <v>136</v>
      </c>
      <c r="D157">
        <v>5</v>
      </c>
      <c r="E157" s="20"/>
      <c r="F157" s="76">
        <v>1240.2162162162163</v>
      </c>
      <c r="G157" s="76">
        <v>1276.7823736780258</v>
      </c>
      <c r="H157" s="76">
        <v>1298.6883666274971</v>
      </c>
      <c r="I157" s="76">
        <v>1324.6075205640423</v>
      </c>
      <c r="J157" s="76">
        <v>1270.9547591069329</v>
      </c>
      <c r="K157" s="76">
        <v>1314.0528789659224</v>
      </c>
      <c r="L157" s="76">
        <v>1177.7220916568745</v>
      </c>
      <c r="M157" s="76">
        <v>1136.3830787309048</v>
      </c>
      <c r="N157" s="76">
        <v>1326.6133669224596</v>
      </c>
      <c r="O157" s="76">
        <v>1353.0655798883445</v>
      </c>
      <c r="P157" s="76">
        <v>1378.8831729263268</v>
      </c>
      <c r="Q157" s="76">
        <v>1404.682030545659</v>
      </c>
      <c r="R157" s="76">
        <v>1430.5376225088057</v>
      </c>
      <c r="S157" s="76">
        <v>1456.6170297562171</v>
      </c>
      <c r="T157" s="76">
        <v>1482.9415245927241</v>
      </c>
      <c r="U157" s="76">
        <v>1509.3302365383024</v>
      </c>
      <c r="V157" s="76">
        <v>1535.9353036451557</v>
      </c>
    </row>
    <row r="158" spans="1:22" x14ac:dyDescent="0.3">
      <c r="A158" s="3" t="str">
        <f>INDEX(Mapping!$Y:$Y,MATCH($C158,Mapping!$W:$W,0))</f>
        <v>Metro</v>
      </c>
      <c r="B158" s="3" t="str">
        <f>INDEX(Mapping!$V:$V,MATCH(C158,Mapping!$W:$W,0))</f>
        <v>SEV</v>
      </c>
      <c r="C158" t="s">
        <v>155</v>
      </c>
      <c r="D158">
        <v>0</v>
      </c>
      <c r="E158" s="20"/>
      <c r="F158" s="76">
        <v>1847.5667235911199</v>
      </c>
      <c r="G158" s="76">
        <v>1936.9651134423032</v>
      </c>
      <c r="H158" s="76">
        <v>1991.7687240790437</v>
      </c>
      <c r="I158" s="76">
        <v>2172.654270535344</v>
      </c>
      <c r="J158" s="76">
        <v>2211.5702398432732</v>
      </c>
      <c r="K158" s="76">
        <v>2246.8385121211604</v>
      </c>
      <c r="L158" s="76">
        <v>2280.5113256050836</v>
      </c>
      <c r="M158" s="76">
        <v>2312.6066316714941</v>
      </c>
      <c r="N158" s="76">
        <v>2343.8189053542183</v>
      </c>
      <c r="O158" s="76">
        <v>2375.2582421100869</v>
      </c>
      <c r="P158" s="76">
        <v>2405.684574191831</v>
      </c>
      <c r="Q158" s="76">
        <v>2436.4974778309797</v>
      </c>
      <c r="R158" s="76">
        <v>2469.1508463133155</v>
      </c>
      <c r="S158" s="76">
        <v>2502.1490816402938</v>
      </c>
      <c r="T158" s="76">
        <v>2535.2472336523629</v>
      </c>
      <c r="U158" s="76">
        <v>2568.4619962404145</v>
      </c>
      <c r="V158" s="76">
        <v>2602.2555264354696</v>
      </c>
    </row>
    <row r="159" spans="1:22" x14ac:dyDescent="0.3">
      <c r="A159" s="3" t="str">
        <f>INDEX(Mapping!$Y:$Y,MATCH($C159,Mapping!$W:$W,0))</f>
        <v>Metro</v>
      </c>
      <c r="B159" s="3" t="str">
        <f>INDEX(Mapping!$V:$V,MATCH(C159,Mapping!$W:$W,0))</f>
        <v>SEV</v>
      </c>
      <c r="C159" t="s">
        <v>155</v>
      </c>
      <c r="D159">
        <v>1</v>
      </c>
      <c r="E159" s="20"/>
      <c r="F159" s="76">
        <v>1937.9272993413026</v>
      </c>
      <c r="G159" s="76">
        <v>2031.6979751158819</v>
      </c>
      <c r="H159" s="76">
        <v>2089.1819142880377</v>
      </c>
      <c r="I159" s="76">
        <v>1991.7687240790437</v>
      </c>
      <c r="J159" s="76">
        <v>2172.654270535344</v>
      </c>
      <c r="K159" s="76">
        <v>2211.5702398432732</v>
      </c>
      <c r="L159" s="76">
        <v>2246.8385121211604</v>
      </c>
      <c r="M159" s="76">
        <v>2280.5113256050836</v>
      </c>
      <c r="N159" s="76">
        <v>2312.6066316714941</v>
      </c>
      <c r="O159" s="76">
        <v>2343.8189053542183</v>
      </c>
      <c r="P159" s="76">
        <v>2375.2582421100869</v>
      </c>
      <c r="Q159" s="76">
        <v>2405.684574191831</v>
      </c>
      <c r="R159" s="76">
        <v>2436.4974778309797</v>
      </c>
      <c r="S159" s="76">
        <v>2469.1508463133155</v>
      </c>
      <c r="T159" s="76">
        <v>2502.1490816402938</v>
      </c>
      <c r="U159" s="76">
        <v>2535.2472336523629</v>
      </c>
      <c r="V159" s="76">
        <v>2568.4619962404145</v>
      </c>
    </row>
    <row r="160" spans="1:22" x14ac:dyDescent="0.3">
      <c r="A160" s="3" t="str">
        <f>INDEX(Mapping!$Y:$Y,MATCH($C160,Mapping!$W:$W,0))</f>
        <v>Metro</v>
      </c>
      <c r="B160" s="3" t="str">
        <f>INDEX(Mapping!$V:$V,MATCH(C160,Mapping!$W:$W,0))</f>
        <v>SEV</v>
      </c>
      <c r="C160" t="s">
        <v>155</v>
      </c>
      <c r="D160">
        <v>2</v>
      </c>
      <c r="E160" s="20"/>
      <c r="F160" s="76">
        <v>1936.1727250548913</v>
      </c>
      <c r="G160" s="76">
        <v>2029.8585020736764</v>
      </c>
      <c r="H160" s="76">
        <v>2087.2903960315525</v>
      </c>
      <c r="I160" s="76">
        <v>2089.1819142880377</v>
      </c>
      <c r="J160" s="76">
        <v>1991.7687240790437</v>
      </c>
      <c r="K160" s="76">
        <v>2172.654270535344</v>
      </c>
      <c r="L160" s="76">
        <v>2211.5702398432732</v>
      </c>
      <c r="M160" s="76">
        <v>2246.8385121211604</v>
      </c>
      <c r="N160" s="76">
        <v>2280.5113256050836</v>
      </c>
      <c r="O160" s="76">
        <v>2312.6066316714941</v>
      </c>
      <c r="P160" s="76">
        <v>2343.8189053542183</v>
      </c>
      <c r="Q160" s="76">
        <v>2375.2582421100869</v>
      </c>
      <c r="R160" s="76">
        <v>2405.684574191831</v>
      </c>
      <c r="S160" s="76">
        <v>2436.4974778309797</v>
      </c>
      <c r="T160" s="76">
        <v>2469.1508463133155</v>
      </c>
      <c r="U160" s="76">
        <v>2502.1490816402938</v>
      </c>
      <c r="V160" s="76">
        <v>2535.2472336523629</v>
      </c>
    </row>
    <row r="161" spans="1:22" x14ac:dyDescent="0.3">
      <c r="A161" s="3" t="str">
        <f>INDEX(Mapping!$Y:$Y,MATCH($C161,Mapping!$W:$W,0))</f>
        <v>Metro</v>
      </c>
      <c r="B161" s="3" t="str">
        <f>INDEX(Mapping!$V:$V,MATCH(C161,Mapping!$W:$W,0))</f>
        <v>SEV</v>
      </c>
      <c r="C161" t="s">
        <v>155</v>
      </c>
      <c r="D161">
        <v>3</v>
      </c>
      <c r="E161" s="20"/>
      <c r="F161" s="76">
        <v>1780.8929007074896</v>
      </c>
      <c r="G161" s="76">
        <v>1867.0651378384973</v>
      </c>
      <c r="H161" s="76">
        <v>1919.8910303326015</v>
      </c>
      <c r="I161" s="76">
        <v>2087.2903960315525</v>
      </c>
      <c r="J161" s="76">
        <v>2089.1819142880377</v>
      </c>
      <c r="K161" s="76">
        <v>1991.7687240790437</v>
      </c>
      <c r="L161" s="76">
        <v>2172.654270535344</v>
      </c>
      <c r="M161" s="76">
        <v>2211.5702398432732</v>
      </c>
      <c r="N161" s="76">
        <v>2246.8385121211604</v>
      </c>
      <c r="O161" s="76">
        <v>2280.5113256050836</v>
      </c>
      <c r="P161" s="76">
        <v>2312.6066316714941</v>
      </c>
      <c r="Q161" s="76">
        <v>2343.8189053542183</v>
      </c>
      <c r="R161" s="76">
        <v>2375.2582421100869</v>
      </c>
      <c r="S161" s="76">
        <v>2405.684574191831</v>
      </c>
      <c r="T161" s="76">
        <v>2436.4974778309797</v>
      </c>
      <c r="U161" s="76">
        <v>2469.1508463133155</v>
      </c>
      <c r="V161" s="76">
        <v>2502.1490816402938</v>
      </c>
    </row>
    <row r="162" spans="1:22" x14ac:dyDescent="0.3">
      <c r="A162" s="3" t="str">
        <f>INDEX(Mapping!$Y:$Y,MATCH($C162,Mapping!$W:$W,0))</f>
        <v>Metro</v>
      </c>
      <c r="B162" s="3" t="str">
        <f>INDEX(Mapping!$V:$V,MATCH(C162,Mapping!$W:$W,0))</f>
        <v>SEV</v>
      </c>
      <c r="C162" t="s">
        <v>155</v>
      </c>
      <c r="D162">
        <v>4</v>
      </c>
      <c r="E162" s="20"/>
      <c r="F162" s="76">
        <v>1694.9187606733349</v>
      </c>
      <c r="G162" s="76">
        <v>1776.9309587704317</v>
      </c>
      <c r="H162" s="76">
        <v>1827.2066357648207</v>
      </c>
      <c r="I162" s="76">
        <v>1919.8910303326015</v>
      </c>
      <c r="J162" s="76">
        <v>2087.2903960315525</v>
      </c>
      <c r="K162" s="76">
        <v>2089.1819142880377</v>
      </c>
      <c r="L162" s="76">
        <v>1991.7687240790437</v>
      </c>
      <c r="M162" s="76">
        <v>2172.654270535344</v>
      </c>
      <c r="N162" s="76">
        <v>2211.5702398432732</v>
      </c>
      <c r="O162" s="76">
        <v>2246.8385121211604</v>
      </c>
      <c r="P162" s="76">
        <v>2280.5113256050836</v>
      </c>
      <c r="Q162" s="76">
        <v>2312.6066316714941</v>
      </c>
      <c r="R162" s="76">
        <v>2343.8189053542183</v>
      </c>
      <c r="S162" s="76">
        <v>2375.2582421100869</v>
      </c>
      <c r="T162" s="76">
        <v>2405.684574191831</v>
      </c>
      <c r="U162" s="76">
        <v>2436.4974778309797</v>
      </c>
      <c r="V162" s="76">
        <v>2469.1508463133155</v>
      </c>
    </row>
    <row r="163" spans="1:22" x14ac:dyDescent="0.3">
      <c r="A163" s="3" t="str">
        <f>INDEX(Mapping!$Y:$Y,MATCH($C163,Mapping!$W:$W,0))</f>
        <v>Metro</v>
      </c>
      <c r="B163" s="3" t="str">
        <f>INDEX(Mapping!$V:$V,MATCH(C163,Mapping!$W:$W,0))</f>
        <v>SEV</v>
      </c>
      <c r="C163" t="s">
        <v>155</v>
      </c>
      <c r="D163">
        <v>5</v>
      </c>
      <c r="E163" s="20"/>
      <c r="F163" s="76">
        <v>1339.4409205497275</v>
      </c>
      <c r="G163" s="76">
        <v>1376.5943726112059</v>
      </c>
      <c r="H163" s="76">
        <v>1399.5941286492639</v>
      </c>
      <c r="I163" s="76">
        <v>1827.2066357648207</v>
      </c>
      <c r="J163" s="76">
        <v>1919.8910303326015</v>
      </c>
      <c r="K163" s="76">
        <v>2087.2903960315525</v>
      </c>
      <c r="L163" s="76">
        <v>2089.1819142880377</v>
      </c>
      <c r="M163" s="76">
        <v>1991.7687240790437</v>
      </c>
      <c r="N163" s="76">
        <v>2172.654270535344</v>
      </c>
      <c r="O163" s="76">
        <v>2211.5702398432732</v>
      </c>
      <c r="P163" s="76">
        <v>2246.8385121211604</v>
      </c>
      <c r="Q163" s="76">
        <v>2280.5113256050836</v>
      </c>
      <c r="R163" s="76">
        <v>2312.6066316714941</v>
      </c>
      <c r="S163" s="76">
        <v>2343.8189053542183</v>
      </c>
      <c r="T163" s="76">
        <v>2375.2582421100869</v>
      </c>
      <c r="U163" s="76">
        <v>2405.684574191831</v>
      </c>
      <c r="V163" s="76">
        <v>2436.4974778309797</v>
      </c>
    </row>
    <row r="164" spans="1:22" x14ac:dyDescent="0.3">
      <c r="A164" s="3" t="str">
        <f>INDEX(Mapping!$Y:$Y,MATCH($C164,Mapping!$W:$W,0))</f>
        <v>Rural</v>
      </c>
      <c r="B164" s="3" t="str">
        <f>INDEX(Mapping!$V:$V,MATCH(C164,Mapping!$W:$W,0))</f>
        <v>SWV</v>
      </c>
      <c r="C164" t="s">
        <v>170</v>
      </c>
      <c r="D164">
        <v>0</v>
      </c>
      <c r="E164" s="20"/>
      <c r="F164" s="76">
        <v>2251.5332865743176</v>
      </c>
      <c r="G164" s="76">
        <v>2362.2821322111167</v>
      </c>
      <c r="H164" s="76">
        <v>2412.7206733298262</v>
      </c>
      <c r="I164" s="76">
        <v>2633.5137842185591</v>
      </c>
      <c r="J164" s="76">
        <v>2676.5138295100128</v>
      </c>
      <c r="K164" s="76">
        <v>2720.5064693886702</v>
      </c>
      <c r="L164" s="76">
        <v>2764.699576705485</v>
      </c>
      <c r="M164" s="76">
        <v>2808.8359596748965</v>
      </c>
      <c r="N164" s="76">
        <v>2853.73884667523</v>
      </c>
      <c r="O164" s="76">
        <v>2899.4100292256667</v>
      </c>
      <c r="P164" s="76">
        <v>2945.4179269964652</v>
      </c>
      <c r="Q164" s="76">
        <v>2992.1908452738758</v>
      </c>
      <c r="R164" s="76">
        <v>3039.6712719439347</v>
      </c>
      <c r="S164" s="76">
        <v>3087.8077281485539</v>
      </c>
      <c r="T164" s="76">
        <v>3136.5114053364814</v>
      </c>
      <c r="U164" s="76">
        <v>3185.7141987607138</v>
      </c>
      <c r="V164" s="76">
        <v>3235.369114260177</v>
      </c>
    </row>
    <row r="165" spans="1:22" x14ac:dyDescent="0.3">
      <c r="A165" s="3" t="str">
        <f>INDEX(Mapping!$Y:$Y,MATCH($C165,Mapping!$W:$W,0))</f>
        <v>Rural</v>
      </c>
      <c r="B165" s="3" t="str">
        <f>INDEX(Mapping!$V:$V,MATCH(C165,Mapping!$W:$W,0))</f>
        <v>SWV</v>
      </c>
      <c r="C165" t="s">
        <v>170</v>
      </c>
      <c r="D165">
        <v>1</v>
      </c>
      <c r="E165" s="20"/>
      <c r="F165" s="76">
        <v>2497.2481734759485</v>
      </c>
      <c r="G165" s="76">
        <v>2620.0832894967562</v>
      </c>
      <c r="H165" s="76">
        <v>2676.0263019463441</v>
      </c>
      <c r="I165" s="76">
        <v>2412.7206733298262</v>
      </c>
      <c r="J165" s="76">
        <v>2633.5137842185591</v>
      </c>
      <c r="K165" s="76">
        <v>2676.5138295100128</v>
      </c>
      <c r="L165" s="76">
        <v>2720.5064693886702</v>
      </c>
      <c r="M165" s="76">
        <v>2764.699576705485</v>
      </c>
      <c r="N165" s="76">
        <v>2808.8359596748965</v>
      </c>
      <c r="O165" s="76">
        <v>2853.73884667523</v>
      </c>
      <c r="P165" s="76">
        <v>2899.4100292256667</v>
      </c>
      <c r="Q165" s="76">
        <v>2945.4179269964652</v>
      </c>
      <c r="R165" s="76">
        <v>2992.1908452738758</v>
      </c>
      <c r="S165" s="76">
        <v>3039.6712719439347</v>
      </c>
      <c r="T165" s="76">
        <v>3087.8077281485539</v>
      </c>
      <c r="U165" s="76">
        <v>3136.5114053364814</v>
      </c>
      <c r="V165" s="76">
        <v>3185.7141987607138</v>
      </c>
    </row>
    <row r="166" spans="1:22" x14ac:dyDescent="0.3">
      <c r="A166" s="3" t="str">
        <f>INDEX(Mapping!$Y:$Y,MATCH($C166,Mapping!$W:$W,0))</f>
        <v>Rural</v>
      </c>
      <c r="B166" s="3" t="str">
        <f>INDEX(Mapping!$V:$V,MATCH(C166,Mapping!$W:$W,0))</f>
        <v>SWV</v>
      </c>
      <c r="C166" t="s">
        <v>170</v>
      </c>
      <c r="D166">
        <v>2</v>
      </c>
      <c r="E166" s="20"/>
      <c r="F166" s="76">
        <v>2512.6053539073005</v>
      </c>
      <c r="G166" s="76">
        <v>2636.1958618271087</v>
      </c>
      <c r="H166" s="76">
        <v>2692.4829037348763</v>
      </c>
      <c r="I166" s="76">
        <v>2676.0263019463441</v>
      </c>
      <c r="J166" s="76">
        <v>2412.7206733298262</v>
      </c>
      <c r="K166" s="76">
        <v>2633.5137842185591</v>
      </c>
      <c r="L166" s="76">
        <v>2676.5138295100128</v>
      </c>
      <c r="M166" s="76">
        <v>2720.5064693886702</v>
      </c>
      <c r="N166" s="76">
        <v>2764.699576705485</v>
      </c>
      <c r="O166" s="76">
        <v>2808.8359596748965</v>
      </c>
      <c r="P166" s="76">
        <v>2853.73884667523</v>
      </c>
      <c r="Q166" s="76">
        <v>2899.4100292256667</v>
      </c>
      <c r="R166" s="76">
        <v>2945.4179269964652</v>
      </c>
      <c r="S166" s="76">
        <v>2992.1908452738758</v>
      </c>
      <c r="T166" s="76">
        <v>3039.6712719439347</v>
      </c>
      <c r="U166" s="76">
        <v>3087.8077281485539</v>
      </c>
      <c r="V166" s="76">
        <v>3136.5114053364814</v>
      </c>
    </row>
    <row r="167" spans="1:22" x14ac:dyDescent="0.3">
      <c r="A167" s="3" t="str">
        <f>INDEX(Mapping!$Y:$Y,MATCH($C167,Mapping!$W:$W,0))</f>
        <v>Rural</v>
      </c>
      <c r="B167" s="3" t="str">
        <f>INDEX(Mapping!$V:$V,MATCH(C167,Mapping!$W:$W,0))</f>
        <v>SWV</v>
      </c>
      <c r="C167" t="s">
        <v>170</v>
      </c>
      <c r="D167">
        <v>3</v>
      </c>
      <c r="E167" s="20"/>
      <c r="F167" s="76">
        <v>2491.2759366415339</v>
      </c>
      <c r="G167" s="76">
        <v>2613.8172891460636</v>
      </c>
      <c r="H167" s="76">
        <v>2669.626512361915</v>
      </c>
      <c r="I167" s="76">
        <v>2692.4829037348763</v>
      </c>
      <c r="J167" s="76">
        <v>2676.0263019463441</v>
      </c>
      <c r="K167" s="76">
        <v>2412.7206733298262</v>
      </c>
      <c r="L167" s="76">
        <v>2633.5137842185591</v>
      </c>
      <c r="M167" s="76">
        <v>2676.5138295100128</v>
      </c>
      <c r="N167" s="76">
        <v>2720.5064693886702</v>
      </c>
      <c r="O167" s="76">
        <v>2764.699576705485</v>
      </c>
      <c r="P167" s="76">
        <v>2808.8359596748965</v>
      </c>
      <c r="Q167" s="76">
        <v>2853.73884667523</v>
      </c>
      <c r="R167" s="76">
        <v>2899.4100292256667</v>
      </c>
      <c r="S167" s="76">
        <v>2945.4179269964652</v>
      </c>
      <c r="T167" s="76">
        <v>2992.1908452738758</v>
      </c>
      <c r="U167" s="76">
        <v>3039.6712719439347</v>
      </c>
      <c r="V167" s="76">
        <v>3087.8077281485539</v>
      </c>
    </row>
    <row r="168" spans="1:22" x14ac:dyDescent="0.3">
      <c r="A168" s="3" t="str">
        <f>INDEX(Mapping!$Y:$Y,MATCH($C168,Mapping!$W:$W,0))</f>
        <v>Rural</v>
      </c>
      <c r="B168" s="3" t="str">
        <f>INDEX(Mapping!$V:$V,MATCH(C168,Mapping!$W:$W,0))</f>
        <v>SWV</v>
      </c>
      <c r="C168" t="s">
        <v>170</v>
      </c>
      <c r="D168">
        <v>4</v>
      </c>
      <c r="E168" s="20"/>
      <c r="F168" s="76">
        <v>2490.4227599509031</v>
      </c>
      <c r="G168" s="76">
        <v>2612.9221462388218</v>
      </c>
      <c r="H168" s="76">
        <v>2668.7122567069964</v>
      </c>
      <c r="I168" s="76">
        <v>2669.626512361915</v>
      </c>
      <c r="J168" s="76">
        <v>2692.4829037348763</v>
      </c>
      <c r="K168" s="76">
        <v>2676.0263019463441</v>
      </c>
      <c r="L168" s="76">
        <v>2412.7206733298262</v>
      </c>
      <c r="M168" s="76">
        <v>2633.5137842185591</v>
      </c>
      <c r="N168" s="76">
        <v>2676.5138295100128</v>
      </c>
      <c r="O168" s="76">
        <v>2720.5064693886702</v>
      </c>
      <c r="P168" s="76">
        <v>2764.699576705485</v>
      </c>
      <c r="Q168" s="76">
        <v>2808.8359596748965</v>
      </c>
      <c r="R168" s="76">
        <v>2853.73884667523</v>
      </c>
      <c r="S168" s="76">
        <v>2899.4100292256667</v>
      </c>
      <c r="T168" s="76">
        <v>2945.4179269964652</v>
      </c>
      <c r="U168" s="76">
        <v>2992.1908452738758</v>
      </c>
      <c r="V168" s="76">
        <v>3039.6712719439347</v>
      </c>
    </row>
    <row r="169" spans="1:22" x14ac:dyDescent="0.3">
      <c r="A169" s="3" t="str">
        <f>INDEX(Mapping!$Y:$Y,MATCH($C169,Mapping!$W:$W,0))</f>
        <v>Rural</v>
      </c>
      <c r="B169" s="3" t="str">
        <f>INDEX(Mapping!$V:$V,MATCH(C169,Mapping!$W:$W,0))</f>
        <v>SWV</v>
      </c>
      <c r="C169" t="s">
        <v>170</v>
      </c>
      <c r="D169">
        <v>5</v>
      </c>
      <c r="E169" s="20"/>
      <c r="F169" s="76">
        <v>2323.2750599099886</v>
      </c>
      <c r="G169" s="76">
        <v>2406.6465602899057</v>
      </c>
      <c r="H169" s="76">
        <v>2466.9578584370797</v>
      </c>
      <c r="I169" s="76">
        <v>2668.7122567069964</v>
      </c>
      <c r="J169" s="76">
        <v>2669.626512361915</v>
      </c>
      <c r="K169" s="76">
        <v>2692.4829037348763</v>
      </c>
      <c r="L169" s="76">
        <v>2676.0263019463441</v>
      </c>
      <c r="M169" s="76">
        <v>2412.7206733298262</v>
      </c>
      <c r="N169" s="76">
        <v>2633.5137842185591</v>
      </c>
      <c r="O169" s="76">
        <v>2676.5138295100128</v>
      </c>
      <c r="P169" s="76">
        <v>2720.5064693886702</v>
      </c>
      <c r="Q169" s="76">
        <v>2764.699576705485</v>
      </c>
      <c r="R169" s="76">
        <v>2808.8359596748965</v>
      </c>
      <c r="S169" s="76">
        <v>2853.73884667523</v>
      </c>
      <c r="T169" s="76">
        <v>2899.4100292256667</v>
      </c>
      <c r="U169" s="76">
        <v>2945.4179269964652</v>
      </c>
      <c r="V169" s="76">
        <v>2992.1908452738758</v>
      </c>
    </row>
    <row r="170" spans="1:22" x14ac:dyDescent="0.3">
      <c r="A170" s="3" t="str">
        <f>INDEX(Mapping!$Y:$Y,MATCH($C170,Mapping!$W:$W,0))</f>
        <v>Rural</v>
      </c>
      <c r="B170" s="3" t="str">
        <f>INDEX(Mapping!$V:$V,MATCH(C170,Mapping!$W:$W,0))</f>
        <v>NEV</v>
      </c>
      <c r="C170" t="s">
        <v>114</v>
      </c>
      <c r="D170">
        <v>0</v>
      </c>
      <c r="E170" s="20"/>
      <c r="F170" s="76">
        <v>708.49551166965887</v>
      </c>
      <c r="G170" s="76">
        <v>720.80590464791533</v>
      </c>
      <c r="H170" s="76">
        <v>714.48872930381003</v>
      </c>
      <c r="I170" s="76">
        <v>810.91983780702094</v>
      </c>
      <c r="J170" s="76">
        <v>818.97479436905724</v>
      </c>
      <c r="K170" s="76">
        <v>827.32895198454639</v>
      </c>
      <c r="L170" s="76">
        <v>836.13545751456024</v>
      </c>
      <c r="M170" s="76">
        <v>844.67870107731926</v>
      </c>
      <c r="N170" s="76">
        <v>853.1584795874536</v>
      </c>
      <c r="O170" s="76">
        <v>861.58260542871369</v>
      </c>
      <c r="P170" s="76">
        <v>869.87466942138303</v>
      </c>
      <c r="Q170" s="76">
        <v>878.20078980034498</v>
      </c>
      <c r="R170" s="76">
        <v>886.50922550742507</v>
      </c>
      <c r="S170" s="76">
        <v>894.88288742950817</v>
      </c>
      <c r="T170" s="76">
        <v>903.25311332763556</v>
      </c>
      <c r="U170" s="76">
        <v>911.61460503430351</v>
      </c>
      <c r="V170" s="76">
        <v>919.944593491207</v>
      </c>
    </row>
    <row r="171" spans="1:22" x14ac:dyDescent="0.3">
      <c r="A171" s="3" t="str">
        <f>INDEX(Mapping!$Y:$Y,MATCH($C171,Mapping!$W:$W,0))</f>
        <v>Rural</v>
      </c>
      <c r="B171" s="3" t="str">
        <f>INDEX(Mapping!$V:$V,MATCH(C171,Mapping!$W:$W,0))</f>
        <v>NEV</v>
      </c>
      <c r="C171" t="s">
        <v>114</v>
      </c>
      <c r="D171">
        <v>1</v>
      </c>
      <c r="E171" s="20"/>
      <c r="F171" s="76">
        <v>725.94614003590675</v>
      </c>
      <c r="G171" s="76">
        <v>738.55974466387397</v>
      </c>
      <c r="H171" s="76">
        <v>732.08697386794336</v>
      </c>
      <c r="I171" s="76">
        <v>714.48872930381003</v>
      </c>
      <c r="J171" s="76">
        <v>810.91983780702094</v>
      </c>
      <c r="K171" s="76">
        <v>818.97479436905724</v>
      </c>
      <c r="L171" s="76">
        <v>827.32895198454639</v>
      </c>
      <c r="M171" s="76">
        <v>836.13545751456024</v>
      </c>
      <c r="N171" s="76">
        <v>844.67870107731926</v>
      </c>
      <c r="O171" s="76">
        <v>853.1584795874536</v>
      </c>
      <c r="P171" s="76">
        <v>861.58260542871369</v>
      </c>
      <c r="Q171" s="76">
        <v>869.87466942138303</v>
      </c>
      <c r="R171" s="76">
        <v>878.20078980034498</v>
      </c>
      <c r="S171" s="76">
        <v>886.50922550742507</v>
      </c>
      <c r="T171" s="76">
        <v>894.88288742950817</v>
      </c>
      <c r="U171" s="76">
        <v>903.25311332763556</v>
      </c>
      <c r="V171" s="76">
        <v>911.61460503430351</v>
      </c>
    </row>
    <row r="172" spans="1:22" x14ac:dyDescent="0.3">
      <c r="A172" s="3" t="str">
        <f>INDEX(Mapping!$Y:$Y,MATCH($C172,Mapping!$W:$W,0))</f>
        <v>Rural</v>
      </c>
      <c r="B172" s="3" t="str">
        <f>INDEX(Mapping!$V:$V,MATCH(C172,Mapping!$W:$W,0))</f>
        <v>NEV</v>
      </c>
      <c r="C172" t="s">
        <v>114</v>
      </c>
      <c r="D172">
        <v>2</v>
      </c>
      <c r="E172" s="20"/>
      <c r="F172" s="76">
        <v>725.07360861759423</v>
      </c>
      <c r="G172" s="76">
        <v>737.67205266307599</v>
      </c>
      <c r="H172" s="76">
        <v>731.20706163973671</v>
      </c>
      <c r="I172" s="76">
        <v>732.08697386794336</v>
      </c>
      <c r="J172" s="76">
        <v>714.48872930381003</v>
      </c>
      <c r="K172" s="76">
        <v>810.91983780702094</v>
      </c>
      <c r="L172" s="76">
        <v>818.97479436905724</v>
      </c>
      <c r="M172" s="76">
        <v>827.32895198454639</v>
      </c>
      <c r="N172" s="76">
        <v>836.13545751456024</v>
      </c>
      <c r="O172" s="76">
        <v>844.67870107731926</v>
      </c>
      <c r="P172" s="76">
        <v>853.1584795874536</v>
      </c>
      <c r="Q172" s="76">
        <v>861.58260542871369</v>
      </c>
      <c r="R172" s="76">
        <v>869.87466942138303</v>
      </c>
      <c r="S172" s="76">
        <v>878.20078980034498</v>
      </c>
      <c r="T172" s="76">
        <v>886.50922550742507</v>
      </c>
      <c r="U172" s="76">
        <v>894.88288742950817</v>
      </c>
      <c r="V172" s="76">
        <v>903.25311332763556</v>
      </c>
    </row>
    <row r="173" spans="1:22" x14ac:dyDescent="0.3">
      <c r="A173" s="3" t="str">
        <f>INDEX(Mapping!$Y:$Y,MATCH($C173,Mapping!$W:$W,0))</f>
        <v>Rural</v>
      </c>
      <c r="B173" s="3" t="str">
        <f>INDEX(Mapping!$V:$V,MATCH(C173,Mapping!$W:$W,0))</f>
        <v>NEV</v>
      </c>
      <c r="C173" t="s">
        <v>114</v>
      </c>
      <c r="D173">
        <v>3</v>
      </c>
      <c r="E173" s="20"/>
      <c r="F173" s="76">
        <v>780.91561938958705</v>
      </c>
      <c r="G173" s="76">
        <v>794.48434071414317</v>
      </c>
      <c r="H173" s="76">
        <v>787.52144424496305</v>
      </c>
      <c r="I173" s="76">
        <v>731.20706163973671</v>
      </c>
      <c r="J173" s="76">
        <v>732.08697386794336</v>
      </c>
      <c r="K173" s="76">
        <v>714.48872930381003</v>
      </c>
      <c r="L173" s="76">
        <v>810.91983780702094</v>
      </c>
      <c r="M173" s="76">
        <v>818.97479436905724</v>
      </c>
      <c r="N173" s="76">
        <v>827.32895198454639</v>
      </c>
      <c r="O173" s="76">
        <v>836.13545751456024</v>
      </c>
      <c r="P173" s="76">
        <v>844.67870107731926</v>
      </c>
      <c r="Q173" s="76">
        <v>853.1584795874536</v>
      </c>
      <c r="R173" s="76">
        <v>861.58260542871369</v>
      </c>
      <c r="S173" s="76">
        <v>869.87466942138303</v>
      </c>
      <c r="T173" s="76">
        <v>878.20078980034498</v>
      </c>
      <c r="U173" s="76">
        <v>886.50922550742507</v>
      </c>
      <c r="V173" s="76">
        <v>894.88288742950817</v>
      </c>
    </row>
    <row r="174" spans="1:22" x14ac:dyDescent="0.3">
      <c r="A174" s="3" t="str">
        <f>INDEX(Mapping!$Y:$Y,MATCH($C174,Mapping!$W:$W,0))</f>
        <v>Rural</v>
      </c>
      <c r="B174" s="3" t="str">
        <f>INDEX(Mapping!$V:$V,MATCH(C174,Mapping!$W:$W,0))</f>
        <v>NEV</v>
      </c>
      <c r="C174" t="s">
        <v>114</v>
      </c>
      <c r="D174">
        <v>4</v>
      </c>
      <c r="E174" s="20"/>
      <c r="F174" s="76">
        <v>739.9066427289049</v>
      </c>
      <c r="G174" s="76">
        <v>752.7628166766408</v>
      </c>
      <c r="H174" s="76">
        <v>746.16556951924997</v>
      </c>
      <c r="I174" s="76">
        <v>787.52144424496305</v>
      </c>
      <c r="J174" s="76">
        <v>731.20706163973671</v>
      </c>
      <c r="K174" s="76">
        <v>732.08697386794336</v>
      </c>
      <c r="L174" s="76">
        <v>714.48872930381003</v>
      </c>
      <c r="M174" s="76">
        <v>810.91983780702094</v>
      </c>
      <c r="N174" s="76">
        <v>818.97479436905724</v>
      </c>
      <c r="O174" s="76">
        <v>827.32895198454639</v>
      </c>
      <c r="P174" s="76">
        <v>836.13545751456024</v>
      </c>
      <c r="Q174" s="76">
        <v>844.67870107731926</v>
      </c>
      <c r="R174" s="76">
        <v>853.1584795874536</v>
      </c>
      <c r="S174" s="76">
        <v>861.58260542871369</v>
      </c>
      <c r="T174" s="76">
        <v>869.87466942138303</v>
      </c>
      <c r="U174" s="76">
        <v>878.20078980034498</v>
      </c>
      <c r="V174" s="76">
        <v>886.50922550742507</v>
      </c>
    </row>
    <row r="175" spans="1:22" x14ac:dyDescent="0.3">
      <c r="A175" s="3" t="str">
        <f>INDEX(Mapping!$Y:$Y,MATCH($C175,Mapping!$W:$W,0))</f>
        <v>Rural</v>
      </c>
      <c r="B175" s="3" t="str">
        <f>INDEX(Mapping!$V:$V,MATCH(C175,Mapping!$W:$W,0))</f>
        <v>NEV</v>
      </c>
      <c r="C175" t="s">
        <v>114</v>
      </c>
      <c r="D175">
        <v>5</v>
      </c>
      <c r="E175" s="20"/>
      <c r="F175" s="76">
        <v>724.42848593656493</v>
      </c>
      <c r="G175" s="76">
        <v>720.93955715140635</v>
      </c>
      <c r="H175" s="76">
        <v>723.31837223219634</v>
      </c>
      <c r="I175" s="76">
        <v>746.16556951924997</v>
      </c>
      <c r="J175" s="76">
        <v>787.52144424496305</v>
      </c>
      <c r="K175" s="76">
        <v>731.20706163973671</v>
      </c>
      <c r="L175" s="76">
        <v>732.08697386794336</v>
      </c>
      <c r="M175" s="76">
        <v>714.48872930381003</v>
      </c>
      <c r="N175" s="76">
        <v>810.91983780702094</v>
      </c>
      <c r="O175" s="76">
        <v>818.97479436905724</v>
      </c>
      <c r="P175" s="76">
        <v>827.32895198454639</v>
      </c>
      <c r="Q175" s="76">
        <v>836.13545751456024</v>
      </c>
      <c r="R175" s="76">
        <v>844.67870107731926</v>
      </c>
      <c r="S175" s="76">
        <v>853.1584795874536</v>
      </c>
      <c r="T175" s="76">
        <v>861.58260542871369</v>
      </c>
      <c r="U175" s="76">
        <v>869.87466942138303</v>
      </c>
      <c r="V175" s="76">
        <v>878.20078980034498</v>
      </c>
    </row>
    <row r="176" spans="1:22" x14ac:dyDescent="0.3">
      <c r="A176" s="3" t="str">
        <f>INDEX(Mapping!$Y:$Y,MATCH($C176,Mapping!$W:$W,0))</f>
        <v>Rural</v>
      </c>
      <c r="B176" s="3" t="str">
        <f>INDEX(Mapping!$V:$V,MATCH(C176,Mapping!$W:$W,0))</f>
        <v>SWV</v>
      </c>
      <c r="C176" t="s">
        <v>171</v>
      </c>
      <c r="D176">
        <v>0</v>
      </c>
      <c r="E176" s="20"/>
      <c r="F176" s="76">
        <v>117.54842473745624</v>
      </c>
      <c r="G176" s="76">
        <v>114.94982497082847</v>
      </c>
      <c r="H176" s="76">
        <v>108.98833138856476</v>
      </c>
      <c r="I176" s="76">
        <v>122.47401642100093</v>
      </c>
      <c r="J176" s="76">
        <v>123.18923262453484</v>
      </c>
      <c r="K176" s="76">
        <v>123.98411869243837</v>
      </c>
      <c r="L176" s="76">
        <v>124.83674401943728</v>
      </c>
      <c r="M176" s="76">
        <v>125.78157283061563</v>
      </c>
      <c r="N176" s="76">
        <v>126.76315934588496</v>
      </c>
      <c r="O176" s="76">
        <v>127.74831006926601</v>
      </c>
      <c r="P176" s="76">
        <v>128.72062287638195</v>
      </c>
      <c r="Q176" s="76">
        <v>129.68330792956704</v>
      </c>
      <c r="R176" s="76">
        <v>130.6743409777423</v>
      </c>
      <c r="S176" s="76">
        <v>131.66358400099716</v>
      </c>
      <c r="T176" s="76">
        <v>132.63515567858227</v>
      </c>
      <c r="U176" s="76">
        <v>133.58822467871394</v>
      </c>
      <c r="V176" s="76">
        <v>134.51985868140832</v>
      </c>
    </row>
    <row r="177" spans="1:22" x14ac:dyDescent="0.3">
      <c r="A177" s="3" t="str">
        <f>INDEX(Mapping!$Y:$Y,MATCH($C177,Mapping!$W:$W,0))</f>
        <v>Rural</v>
      </c>
      <c r="B177" s="3" t="str">
        <f>INDEX(Mapping!$V:$V,MATCH(C177,Mapping!$W:$W,0))</f>
        <v>SWV</v>
      </c>
      <c r="C177" t="s">
        <v>171</v>
      </c>
      <c r="D177">
        <v>1</v>
      </c>
      <c r="E177" s="20"/>
      <c r="F177" s="76">
        <v>112.16452742123687</v>
      </c>
      <c r="G177" s="76">
        <v>109.68494749124855</v>
      </c>
      <c r="H177" s="76">
        <v>103.99649941656943</v>
      </c>
      <c r="I177" s="76">
        <v>108.98833138856476</v>
      </c>
      <c r="J177" s="76">
        <v>122.47401642100093</v>
      </c>
      <c r="K177" s="76">
        <v>123.18923262453484</v>
      </c>
      <c r="L177" s="76">
        <v>123.98411869243837</v>
      </c>
      <c r="M177" s="76">
        <v>124.83674401943728</v>
      </c>
      <c r="N177" s="76">
        <v>125.78157283061563</v>
      </c>
      <c r="O177" s="76">
        <v>126.76315934588496</v>
      </c>
      <c r="P177" s="76">
        <v>127.74831006926601</v>
      </c>
      <c r="Q177" s="76">
        <v>128.72062287638195</v>
      </c>
      <c r="R177" s="76">
        <v>129.68330792956704</v>
      </c>
      <c r="S177" s="76">
        <v>130.6743409777423</v>
      </c>
      <c r="T177" s="76">
        <v>131.66358400099716</v>
      </c>
      <c r="U177" s="76">
        <v>132.63515567858227</v>
      </c>
      <c r="V177" s="76">
        <v>133.58822467871394</v>
      </c>
    </row>
    <row r="178" spans="1:22" x14ac:dyDescent="0.3">
      <c r="A178" s="3" t="str">
        <f>INDEX(Mapping!$Y:$Y,MATCH($C178,Mapping!$W:$W,0))</f>
        <v>Rural</v>
      </c>
      <c r="B178" s="3" t="str">
        <f>INDEX(Mapping!$V:$V,MATCH(C178,Mapping!$W:$W,0))</f>
        <v>SWV</v>
      </c>
      <c r="C178" t="s">
        <v>171</v>
      </c>
      <c r="D178">
        <v>2</v>
      </c>
      <c r="E178" s="20"/>
      <c r="F178" s="76">
        <v>127.4189031505251</v>
      </c>
      <c r="G178" s="76">
        <v>124.60210035005835</v>
      </c>
      <c r="H178" s="76">
        <v>118.14002333722287</v>
      </c>
      <c r="I178" s="76">
        <v>103.99649941656943</v>
      </c>
      <c r="J178" s="76">
        <v>108.98833138856476</v>
      </c>
      <c r="K178" s="76">
        <v>122.47401642100093</v>
      </c>
      <c r="L178" s="76">
        <v>123.18923262453484</v>
      </c>
      <c r="M178" s="76">
        <v>123.98411869243837</v>
      </c>
      <c r="N178" s="76">
        <v>124.83674401943728</v>
      </c>
      <c r="O178" s="76">
        <v>125.78157283061563</v>
      </c>
      <c r="P178" s="76">
        <v>126.76315934588496</v>
      </c>
      <c r="Q178" s="76">
        <v>127.74831006926601</v>
      </c>
      <c r="R178" s="76">
        <v>128.72062287638195</v>
      </c>
      <c r="S178" s="76">
        <v>129.68330792956704</v>
      </c>
      <c r="T178" s="76">
        <v>130.6743409777423</v>
      </c>
      <c r="U178" s="76">
        <v>131.66358400099716</v>
      </c>
      <c r="V178" s="76">
        <v>132.63515567858227</v>
      </c>
    </row>
    <row r="179" spans="1:22" x14ac:dyDescent="0.3">
      <c r="A179" s="3" t="str">
        <f>INDEX(Mapping!$Y:$Y,MATCH($C179,Mapping!$W:$W,0))</f>
        <v>Rural</v>
      </c>
      <c r="B179" s="3" t="str">
        <f>INDEX(Mapping!$V:$V,MATCH(C179,Mapping!$W:$W,0))</f>
        <v>SWV</v>
      </c>
      <c r="C179" t="s">
        <v>171</v>
      </c>
      <c r="D179">
        <v>3</v>
      </c>
      <c r="E179" s="20"/>
      <c r="F179" s="76">
        <v>133.70011668611434</v>
      </c>
      <c r="G179" s="76">
        <v>130.74445740956824</v>
      </c>
      <c r="H179" s="76">
        <v>123.96382730455075</v>
      </c>
      <c r="I179" s="76">
        <v>118.14002333722287</v>
      </c>
      <c r="J179" s="76">
        <v>103.99649941656943</v>
      </c>
      <c r="K179" s="76">
        <v>108.98833138856476</v>
      </c>
      <c r="L179" s="76">
        <v>122.47401642100093</v>
      </c>
      <c r="M179" s="76">
        <v>123.18923262453484</v>
      </c>
      <c r="N179" s="76">
        <v>123.98411869243837</v>
      </c>
      <c r="O179" s="76">
        <v>124.83674401943728</v>
      </c>
      <c r="P179" s="76">
        <v>125.78157283061563</v>
      </c>
      <c r="Q179" s="76">
        <v>126.76315934588496</v>
      </c>
      <c r="R179" s="76">
        <v>127.74831006926601</v>
      </c>
      <c r="S179" s="76">
        <v>128.72062287638195</v>
      </c>
      <c r="T179" s="76">
        <v>129.68330792956704</v>
      </c>
      <c r="U179" s="76">
        <v>130.6743409777423</v>
      </c>
      <c r="V179" s="76">
        <v>131.66358400099716</v>
      </c>
    </row>
    <row r="180" spans="1:22" x14ac:dyDescent="0.3">
      <c r="A180" s="3" t="str">
        <f>INDEX(Mapping!$Y:$Y,MATCH($C180,Mapping!$W:$W,0))</f>
        <v>Rural</v>
      </c>
      <c r="B180" s="3" t="str">
        <f>INDEX(Mapping!$V:$V,MATCH(C180,Mapping!$W:$W,0))</f>
        <v>SWV</v>
      </c>
      <c r="C180" t="s">
        <v>171</v>
      </c>
      <c r="D180">
        <v>4</v>
      </c>
      <c r="E180" s="20"/>
      <c r="F180" s="76">
        <v>129.21353558926489</v>
      </c>
      <c r="G180" s="76">
        <v>126.35705950991833</v>
      </c>
      <c r="H180" s="76">
        <v>119.80396732788799</v>
      </c>
      <c r="I180" s="76">
        <v>123.96382730455075</v>
      </c>
      <c r="J180" s="76">
        <v>118.14002333722287</v>
      </c>
      <c r="K180" s="76">
        <v>103.99649941656943</v>
      </c>
      <c r="L180" s="76">
        <v>108.98833138856476</v>
      </c>
      <c r="M180" s="76">
        <v>122.47401642100093</v>
      </c>
      <c r="N180" s="76">
        <v>123.18923262453484</v>
      </c>
      <c r="O180" s="76">
        <v>123.98411869243837</v>
      </c>
      <c r="P180" s="76">
        <v>124.83674401943728</v>
      </c>
      <c r="Q180" s="76">
        <v>125.78157283061563</v>
      </c>
      <c r="R180" s="76">
        <v>126.76315934588496</v>
      </c>
      <c r="S180" s="76">
        <v>127.74831006926601</v>
      </c>
      <c r="T180" s="76">
        <v>128.72062287638195</v>
      </c>
      <c r="U180" s="76">
        <v>129.68330792956704</v>
      </c>
      <c r="V180" s="76">
        <v>130.6743409777423</v>
      </c>
    </row>
    <row r="181" spans="1:22" x14ac:dyDescent="0.3">
      <c r="A181" s="3" t="str">
        <f>INDEX(Mapping!$Y:$Y,MATCH($C181,Mapping!$W:$W,0))</f>
        <v>Rural</v>
      </c>
      <c r="B181" s="3" t="str">
        <f>INDEX(Mapping!$V:$V,MATCH(C181,Mapping!$W:$W,0))</f>
        <v>SWV</v>
      </c>
      <c r="C181" t="s">
        <v>171</v>
      </c>
      <c r="D181">
        <v>5</v>
      </c>
      <c r="E181" s="20"/>
      <c r="F181" s="76">
        <v>174.91015169194864</v>
      </c>
      <c r="G181" s="76">
        <v>179.171528588098</v>
      </c>
      <c r="H181" s="76">
        <v>174.91015169194864</v>
      </c>
      <c r="I181" s="76">
        <v>119.80396732788799</v>
      </c>
      <c r="J181" s="76">
        <v>123.96382730455075</v>
      </c>
      <c r="K181" s="76">
        <v>118.14002333722287</v>
      </c>
      <c r="L181" s="76">
        <v>103.99649941656943</v>
      </c>
      <c r="M181" s="76">
        <v>108.98833138856476</v>
      </c>
      <c r="N181" s="76">
        <v>122.47401642100093</v>
      </c>
      <c r="O181" s="76">
        <v>123.18923262453484</v>
      </c>
      <c r="P181" s="76">
        <v>123.98411869243837</v>
      </c>
      <c r="Q181" s="76">
        <v>124.83674401943728</v>
      </c>
      <c r="R181" s="76">
        <v>125.78157283061563</v>
      </c>
      <c r="S181" s="76">
        <v>126.76315934588496</v>
      </c>
      <c r="T181" s="76">
        <v>127.74831006926601</v>
      </c>
      <c r="U181" s="76">
        <v>128.72062287638195</v>
      </c>
      <c r="V181" s="76">
        <v>129.68330792956704</v>
      </c>
    </row>
    <row r="182" spans="1:22" x14ac:dyDescent="0.3">
      <c r="A182" s="3" t="str">
        <f>INDEX(Mapping!$Y:$Y,MATCH($C182,Mapping!$W:$W,0))</f>
        <v>Rural</v>
      </c>
      <c r="B182" s="3" t="str">
        <f>INDEX(Mapping!$V:$V,MATCH(C182,Mapping!$W:$W,0))</f>
        <v>SWV</v>
      </c>
      <c r="C182" t="s">
        <v>172</v>
      </c>
      <c r="D182">
        <v>0</v>
      </c>
      <c r="E182" s="20"/>
      <c r="F182" s="76">
        <v>39.394822006472488</v>
      </c>
      <c r="G182" s="76">
        <v>43.653721682847895</v>
      </c>
      <c r="H182" s="76">
        <v>44.566343042071196</v>
      </c>
      <c r="I182" s="76">
        <v>40.438630286427454</v>
      </c>
      <c r="J182" s="76">
        <v>40.045788016091223</v>
      </c>
      <c r="K182" s="76">
        <v>39.677237689434158</v>
      </c>
      <c r="L182" s="76">
        <v>39.294891346563993</v>
      </c>
      <c r="M182" s="76">
        <v>38.908678330284644</v>
      </c>
      <c r="N182" s="76">
        <v>38.526951771208211</v>
      </c>
      <c r="O182" s="76">
        <v>38.150650735238038</v>
      </c>
      <c r="P182" s="76">
        <v>37.772418668413707</v>
      </c>
      <c r="Q182" s="76">
        <v>37.40191939340626</v>
      </c>
      <c r="R182" s="76">
        <v>37.029205812371487</v>
      </c>
      <c r="S182" s="76">
        <v>36.660212145281157</v>
      </c>
      <c r="T182" s="76">
        <v>36.289507011155443</v>
      </c>
      <c r="U182" s="76">
        <v>35.916867850163968</v>
      </c>
      <c r="V182" s="76">
        <v>35.546696715899131</v>
      </c>
    </row>
    <row r="183" spans="1:22" x14ac:dyDescent="0.3">
      <c r="A183" s="3" t="str">
        <f>INDEX(Mapping!$Y:$Y,MATCH($C183,Mapping!$W:$W,0))</f>
        <v>Rural</v>
      </c>
      <c r="B183" s="3" t="str">
        <f>INDEX(Mapping!$V:$V,MATCH(C183,Mapping!$W:$W,0))</f>
        <v>SWV</v>
      </c>
      <c r="C183" t="s">
        <v>172</v>
      </c>
      <c r="D183">
        <v>1</v>
      </c>
      <c r="E183" s="20"/>
      <c r="F183" s="76">
        <v>34.36569579288026</v>
      </c>
      <c r="G183" s="76">
        <v>38.080906148867314</v>
      </c>
      <c r="H183" s="76">
        <v>38.877022653721681</v>
      </c>
      <c r="I183" s="76">
        <v>44.566343042071196</v>
      </c>
      <c r="J183" s="76">
        <v>40.438630286427454</v>
      </c>
      <c r="K183" s="76">
        <v>40.045788016091223</v>
      </c>
      <c r="L183" s="76">
        <v>39.677237689434158</v>
      </c>
      <c r="M183" s="76">
        <v>39.294891346563993</v>
      </c>
      <c r="N183" s="76">
        <v>38.908678330284644</v>
      </c>
      <c r="O183" s="76">
        <v>38.526951771208211</v>
      </c>
      <c r="P183" s="76">
        <v>38.150650735238038</v>
      </c>
      <c r="Q183" s="76">
        <v>37.772418668413707</v>
      </c>
      <c r="R183" s="76">
        <v>37.40191939340626</v>
      </c>
      <c r="S183" s="76">
        <v>37.029205812371487</v>
      </c>
      <c r="T183" s="76">
        <v>36.660212145281157</v>
      </c>
      <c r="U183" s="76">
        <v>36.289507011155443</v>
      </c>
      <c r="V183" s="76">
        <v>35.916867850163968</v>
      </c>
    </row>
    <row r="184" spans="1:22" x14ac:dyDescent="0.3">
      <c r="A184" s="3" t="str">
        <f>INDEX(Mapping!$Y:$Y,MATCH($C184,Mapping!$W:$W,0))</f>
        <v>Rural</v>
      </c>
      <c r="B184" s="3" t="str">
        <f>INDEX(Mapping!$V:$V,MATCH(C184,Mapping!$W:$W,0))</f>
        <v>SWV</v>
      </c>
      <c r="C184" t="s">
        <v>172</v>
      </c>
      <c r="D184">
        <v>2</v>
      </c>
      <c r="E184" s="20"/>
      <c r="F184" s="76">
        <v>46.100323624595468</v>
      </c>
      <c r="G184" s="76">
        <v>51.084142394822003</v>
      </c>
      <c r="H184" s="76">
        <v>52.152103559870547</v>
      </c>
      <c r="I184" s="76">
        <v>38.877022653721681</v>
      </c>
      <c r="J184" s="76">
        <v>44.566343042071196</v>
      </c>
      <c r="K184" s="76">
        <v>40.438630286427454</v>
      </c>
      <c r="L184" s="76">
        <v>40.045788016091223</v>
      </c>
      <c r="M184" s="76">
        <v>39.677237689434158</v>
      </c>
      <c r="N184" s="76">
        <v>39.294891346563993</v>
      </c>
      <c r="O184" s="76">
        <v>38.908678330284644</v>
      </c>
      <c r="P184" s="76">
        <v>38.526951771208211</v>
      </c>
      <c r="Q184" s="76">
        <v>38.150650735238038</v>
      </c>
      <c r="R184" s="76">
        <v>37.772418668413707</v>
      </c>
      <c r="S184" s="76">
        <v>37.40191939340626</v>
      </c>
      <c r="T184" s="76">
        <v>37.029205812371487</v>
      </c>
      <c r="U184" s="76">
        <v>36.660212145281157</v>
      </c>
      <c r="V184" s="76">
        <v>36.289507011155443</v>
      </c>
    </row>
    <row r="185" spans="1:22" x14ac:dyDescent="0.3">
      <c r="A185" s="3" t="str">
        <f>INDEX(Mapping!$Y:$Y,MATCH($C185,Mapping!$W:$W,0))</f>
        <v>Rural</v>
      </c>
      <c r="B185" s="3" t="str">
        <f>INDEX(Mapping!$V:$V,MATCH(C185,Mapping!$W:$W,0))</f>
        <v>SWV</v>
      </c>
      <c r="C185" t="s">
        <v>172</v>
      </c>
      <c r="D185">
        <v>3</v>
      </c>
      <c r="E185" s="20"/>
      <c r="F185" s="76">
        <v>47.776699029126213</v>
      </c>
      <c r="G185" s="76">
        <v>52.941747572815537</v>
      </c>
      <c r="H185" s="76">
        <v>54.04854368932039</v>
      </c>
      <c r="I185" s="76">
        <v>52.152103559870547</v>
      </c>
      <c r="J185" s="76">
        <v>38.877022653721681</v>
      </c>
      <c r="K185" s="76">
        <v>44.566343042071196</v>
      </c>
      <c r="L185" s="76">
        <v>40.438630286427454</v>
      </c>
      <c r="M185" s="76">
        <v>40.045788016091223</v>
      </c>
      <c r="N185" s="76">
        <v>39.677237689434158</v>
      </c>
      <c r="O185" s="76">
        <v>39.294891346563993</v>
      </c>
      <c r="P185" s="76">
        <v>38.908678330284644</v>
      </c>
      <c r="Q185" s="76">
        <v>38.526951771208211</v>
      </c>
      <c r="R185" s="76">
        <v>38.150650735238038</v>
      </c>
      <c r="S185" s="76">
        <v>37.772418668413707</v>
      </c>
      <c r="T185" s="76">
        <v>37.40191939340626</v>
      </c>
      <c r="U185" s="76">
        <v>37.029205812371487</v>
      </c>
      <c r="V185" s="76">
        <v>36.660212145281157</v>
      </c>
    </row>
    <row r="186" spans="1:22" x14ac:dyDescent="0.3">
      <c r="A186" s="3" t="str">
        <f>INDEX(Mapping!$Y:$Y,MATCH($C186,Mapping!$W:$W,0))</f>
        <v>Rural</v>
      </c>
      <c r="B186" s="3" t="str">
        <f>INDEX(Mapping!$V:$V,MATCH(C186,Mapping!$W:$W,0))</f>
        <v>SWV</v>
      </c>
      <c r="C186" t="s">
        <v>172</v>
      </c>
      <c r="D186">
        <v>4</v>
      </c>
      <c r="E186" s="20"/>
      <c r="F186" s="76">
        <v>47.776699029126213</v>
      </c>
      <c r="G186" s="76">
        <v>52.941747572815537</v>
      </c>
      <c r="H186" s="76">
        <v>54.04854368932039</v>
      </c>
      <c r="I186" s="76">
        <v>54.04854368932039</v>
      </c>
      <c r="J186" s="76">
        <v>52.152103559870547</v>
      </c>
      <c r="K186" s="76">
        <v>38.877022653721681</v>
      </c>
      <c r="L186" s="76">
        <v>44.566343042071196</v>
      </c>
      <c r="M186" s="76">
        <v>40.438630286427454</v>
      </c>
      <c r="N186" s="76">
        <v>40.045788016091223</v>
      </c>
      <c r="O186" s="76">
        <v>39.677237689434158</v>
      </c>
      <c r="P186" s="76">
        <v>39.294891346563993</v>
      </c>
      <c r="Q186" s="76">
        <v>38.908678330284644</v>
      </c>
      <c r="R186" s="76">
        <v>38.526951771208211</v>
      </c>
      <c r="S186" s="76">
        <v>38.150650735238038</v>
      </c>
      <c r="T186" s="76">
        <v>37.772418668413707</v>
      </c>
      <c r="U186" s="76">
        <v>37.40191939340626</v>
      </c>
      <c r="V186" s="76">
        <v>37.029205812371487</v>
      </c>
    </row>
    <row r="187" spans="1:22" x14ac:dyDescent="0.3">
      <c r="A187" s="3" t="str">
        <f>INDEX(Mapping!$Y:$Y,MATCH($C187,Mapping!$W:$W,0))</f>
        <v>Rural</v>
      </c>
      <c r="B187" s="3" t="str">
        <f>INDEX(Mapping!$V:$V,MATCH(C187,Mapping!$W:$W,0))</f>
        <v>SWV</v>
      </c>
      <c r="C187" t="s">
        <v>172</v>
      </c>
      <c r="D187">
        <v>5</v>
      </c>
      <c r="E187" s="20"/>
      <c r="F187" s="76">
        <v>52.504854368932037</v>
      </c>
      <c r="G187" s="76">
        <v>48.970873786407765</v>
      </c>
      <c r="H187" s="76">
        <v>48.466019417475728</v>
      </c>
      <c r="I187" s="76">
        <v>54.04854368932039</v>
      </c>
      <c r="J187" s="76">
        <v>54.04854368932039</v>
      </c>
      <c r="K187" s="76">
        <v>52.152103559870547</v>
      </c>
      <c r="L187" s="76">
        <v>38.877022653721681</v>
      </c>
      <c r="M187" s="76">
        <v>44.566343042071196</v>
      </c>
      <c r="N187" s="76">
        <v>40.438630286427454</v>
      </c>
      <c r="O187" s="76">
        <v>40.045788016091223</v>
      </c>
      <c r="P187" s="76">
        <v>39.677237689434158</v>
      </c>
      <c r="Q187" s="76">
        <v>39.294891346563993</v>
      </c>
      <c r="R187" s="76">
        <v>38.908678330284644</v>
      </c>
      <c r="S187" s="76">
        <v>38.526951771208211</v>
      </c>
      <c r="T187" s="76">
        <v>38.150650735238038</v>
      </c>
      <c r="U187" s="76">
        <v>37.772418668413707</v>
      </c>
      <c r="V187" s="76">
        <v>37.40191939340626</v>
      </c>
    </row>
    <row r="188" spans="1:22" x14ac:dyDescent="0.3">
      <c r="A188" s="3" t="str">
        <f>INDEX(Mapping!$Y:$Y,MATCH($C188,Mapping!$W:$W,0))</f>
        <v>Metro</v>
      </c>
      <c r="B188" s="3" t="str">
        <f>INDEX(Mapping!$V:$V,MATCH(C188,Mapping!$W:$W,0))</f>
        <v>SWV</v>
      </c>
      <c r="C188" t="s">
        <v>173</v>
      </c>
      <c r="D188">
        <v>0</v>
      </c>
      <c r="E188" s="20"/>
      <c r="F188" s="76">
        <v>1111.3783112582782</v>
      </c>
      <c r="G188" s="76">
        <v>1114.9420529801325</v>
      </c>
      <c r="H188" s="76">
        <v>1131.5728476821193</v>
      </c>
      <c r="I188" s="76">
        <v>1313.9690693727091</v>
      </c>
      <c r="J188" s="76">
        <v>1327.2165403688118</v>
      </c>
      <c r="K188" s="76">
        <v>1342.3953600267512</v>
      </c>
      <c r="L188" s="76">
        <v>1356.5996262888832</v>
      </c>
      <c r="M188" s="76">
        <v>1371.5000638743124</v>
      </c>
      <c r="N188" s="76">
        <v>1388.6413391842766</v>
      </c>
      <c r="O188" s="76">
        <v>1407.3789515771541</v>
      </c>
      <c r="P188" s="76">
        <v>1425.2408257697216</v>
      </c>
      <c r="Q188" s="76">
        <v>1441.6484573517223</v>
      </c>
      <c r="R188" s="76">
        <v>1455.8980300410788</v>
      </c>
      <c r="S188" s="76">
        <v>1468.6237743797126</v>
      </c>
      <c r="T188" s="76">
        <v>1481.2477991031294</v>
      </c>
      <c r="U188" s="76">
        <v>1493.6433309968381</v>
      </c>
      <c r="V188" s="76">
        <v>1506.0511621291457</v>
      </c>
    </row>
    <row r="189" spans="1:22" x14ac:dyDescent="0.3">
      <c r="A189" s="3" t="str">
        <f>INDEX(Mapping!$Y:$Y,MATCH($C189,Mapping!$W:$W,0))</f>
        <v>Metro</v>
      </c>
      <c r="B189" s="3" t="str">
        <f>INDEX(Mapping!$V:$V,MATCH(C189,Mapping!$W:$W,0))</f>
        <v>SWV</v>
      </c>
      <c r="C189" t="s">
        <v>173</v>
      </c>
      <c r="D189">
        <v>1</v>
      </c>
      <c r="E189" s="20"/>
      <c r="F189" s="76">
        <v>1088.789321192053</v>
      </c>
      <c r="G189" s="76">
        <v>1092.280629139073</v>
      </c>
      <c r="H189" s="76">
        <v>1108.573399558499</v>
      </c>
      <c r="I189" s="76">
        <v>1131.5728476821193</v>
      </c>
      <c r="J189" s="76">
        <v>1313.9690693727091</v>
      </c>
      <c r="K189" s="76">
        <v>1327.2165403688118</v>
      </c>
      <c r="L189" s="76">
        <v>1342.3953600267512</v>
      </c>
      <c r="M189" s="76">
        <v>1356.5996262888832</v>
      </c>
      <c r="N189" s="76">
        <v>1371.5000638743124</v>
      </c>
      <c r="O189" s="76">
        <v>1388.6413391842766</v>
      </c>
      <c r="P189" s="76">
        <v>1407.3789515771541</v>
      </c>
      <c r="Q189" s="76">
        <v>1425.2408257697216</v>
      </c>
      <c r="R189" s="76">
        <v>1441.6484573517223</v>
      </c>
      <c r="S189" s="76">
        <v>1455.8980300410788</v>
      </c>
      <c r="T189" s="76">
        <v>1468.6237743797126</v>
      </c>
      <c r="U189" s="76">
        <v>1481.2477991031294</v>
      </c>
      <c r="V189" s="76">
        <v>1493.6433309968381</v>
      </c>
    </row>
    <row r="190" spans="1:22" x14ac:dyDescent="0.3">
      <c r="A190" s="3" t="str">
        <f>INDEX(Mapping!$Y:$Y,MATCH($C190,Mapping!$W:$W,0))</f>
        <v>Metro</v>
      </c>
      <c r="B190" s="3" t="str">
        <f>INDEX(Mapping!$V:$V,MATCH(C190,Mapping!$W:$W,0))</f>
        <v>SWV</v>
      </c>
      <c r="C190" t="s">
        <v>173</v>
      </c>
      <c r="D190">
        <v>2</v>
      </c>
      <c r="E190" s="20"/>
      <c r="F190" s="76">
        <v>1114.0889900662251</v>
      </c>
      <c r="G190" s="76">
        <v>1117.6614238410596</v>
      </c>
      <c r="H190" s="76">
        <v>1134.3327814569536</v>
      </c>
      <c r="I190" s="76">
        <v>1108.573399558499</v>
      </c>
      <c r="J190" s="76">
        <v>1131.5728476821193</v>
      </c>
      <c r="K190" s="76">
        <v>1313.9690693727091</v>
      </c>
      <c r="L190" s="76">
        <v>1327.2165403688118</v>
      </c>
      <c r="M190" s="76">
        <v>1342.3953600267512</v>
      </c>
      <c r="N190" s="76">
        <v>1356.5996262888832</v>
      </c>
      <c r="O190" s="76">
        <v>1371.5000638743124</v>
      </c>
      <c r="P190" s="76">
        <v>1388.6413391842766</v>
      </c>
      <c r="Q190" s="76">
        <v>1407.3789515771541</v>
      </c>
      <c r="R190" s="76">
        <v>1425.2408257697216</v>
      </c>
      <c r="S190" s="76">
        <v>1441.6484573517223</v>
      </c>
      <c r="T190" s="76">
        <v>1455.8980300410788</v>
      </c>
      <c r="U190" s="76">
        <v>1468.6237743797126</v>
      </c>
      <c r="V190" s="76">
        <v>1481.2477991031294</v>
      </c>
    </row>
    <row r="191" spans="1:22" x14ac:dyDescent="0.3">
      <c r="A191" s="3" t="str">
        <f>INDEX(Mapping!$Y:$Y,MATCH($C191,Mapping!$W:$W,0))</f>
        <v>Metro</v>
      </c>
      <c r="B191" s="3" t="str">
        <f>INDEX(Mapping!$V:$V,MATCH(C191,Mapping!$W:$W,0))</f>
        <v>SWV</v>
      </c>
      <c r="C191" t="s">
        <v>173</v>
      </c>
      <c r="D191">
        <v>3</v>
      </c>
      <c r="E191" s="20"/>
      <c r="F191" s="76">
        <v>1105.9569536423842</v>
      </c>
      <c r="G191" s="76">
        <v>1109.5033112582782</v>
      </c>
      <c r="H191" s="76">
        <v>1126.0529801324503</v>
      </c>
      <c r="I191" s="76">
        <v>1134.3327814569536</v>
      </c>
      <c r="J191" s="76">
        <v>1108.573399558499</v>
      </c>
      <c r="K191" s="76">
        <v>1131.5728476821193</v>
      </c>
      <c r="L191" s="76">
        <v>1313.9690693727091</v>
      </c>
      <c r="M191" s="76">
        <v>1327.2165403688118</v>
      </c>
      <c r="N191" s="76">
        <v>1342.3953600267512</v>
      </c>
      <c r="O191" s="76">
        <v>1356.5996262888832</v>
      </c>
      <c r="P191" s="76">
        <v>1371.5000638743124</v>
      </c>
      <c r="Q191" s="76">
        <v>1388.6413391842766</v>
      </c>
      <c r="R191" s="76">
        <v>1407.3789515771541</v>
      </c>
      <c r="S191" s="76">
        <v>1425.2408257697216</v>
      </c>
      <c r="T191" s="76">
        <v>1441.6484573517223</v>
      </c>
      <c r="U191" s="76">
        <v>1455.8980300410788</v>
      </c>
      <c r="V191" s="76">
        <v>1468.6237743797126</v>
      </c>
    </row>
    <row r="192" spans="1:22" x14ac:dyDescent="0.3">
      <c r="A192" s="3" t="str">
        <f>INDEX(Mapping!$Y:$Y,MATCH($C192,Mapping!$W:$W,0))</f>
        <v>Metro</v>
      </c>
      <c r="B192" s="3" t="str">
        <f>INDEX(Mapping!$V:$V,MATCH(C192,Mapping!$W:$W,0))</f>
        <v>SWV</v>
      </c>
      <c r="C192" t="s">
        <v>173</v>
      </c>
      <c r="D192">
        <v>4</v>
      </c>
      <c r="E192" s="20"/>
      <c r="F192" s="76">
        <v>1055.3576158940398</v>
      </c>
      <c r="G192" s="76">
        <v>1058.7417218543046</v>
      </c>
      <c r="H192" s="76">
        <v>1074.5342163355408</v>
      </c>
      <c r="I192" s="76">
        <v>1126.0529801324503</v>
      </c>
      <c r="J192" s="76">
        <v>1134.3327814569536</v>
      </c>
      <c r="K192" s="76">
        <v>1108.573399558499</v>
      </c>
      <c r="L192" s="76">
        <v>1131.5728476821193</v>
      </c>
      <c r="M192" s="76">
        <v>1313.9690693727091</v>
      </c>
      <c r="N192" s="76">
        <v>1327.2165403688118</v>
      </c>
      <c r="O192" s="76">
        <v>1342.3953600267512</v>
      </c>
      <c r="P192" s="76">
        <v>1356.5996262888832</v>
      </c>
      <c r="Q192" s="76">
        <v>1371.5000638743124</v>
      </c>
      <c r="R192" s="76">
        <v>1388.6413391842766</v>
      </c>
      <c r="S192" s="76">
        <v>1407.3789515771541</v>
      </c>
      <c r="T192" s="76">
        <v>1425.2408257697216</v>
      </c>
      <c r="U192" s="76">
        <v>1441.6484573517223</v>
      </c>
      <c r="V192" s="76">
        <v>1455.8980300410788</v>
      </c>
    </row>
    <row r="193" spans="1:22" x14ac:dyDescent="0.3">
      <c r="A193" s="3" t="str">
        <f>INDEX(Mapping!$Y:$Y,MATCH($C193,Mapping!$W:$W,0))</f>
        <v>Metro</v>
      </c>
      <c r="B193" s="3" t="str">
        <f>INDEX(Mapping!$V:$V,MATCH(C193,Mapping!$W:$W,0))</f>
        <v>SWV</v>
      </c>
      <c r="C193" t="s">
        <v>173</v>
      </c>
      <c r="D193">
        <v>5</v>
      </c>
      <c r="E193" s="20"/>
      <c r="F193" s="76">
        <v>936.40231788079473</v>
      </c>
      <c r="G193" s="76">
        <v>982.13245033112582</v>
      </c>
      <c r="H193" s="76">
        <v>992.9503311258278</v>
      </c>
      <c r="I193" s="76">
        <v>1074.5342163355408</v>
      </c>
      <c r="J193" s="76">
        <v>1126.0529801324503</v>
      </c>
      <c r="K193" s="76">
        <v>1134.3327814569536</v>
      </c>
      <c r="L193" s="76">
        <v>1108.573399558499</v>
      </c>
      <c r="M193" s="76">
        <v>1131.5728476821193</v>
      </c>
      <c r="N193" s="76">
        <v>1313.9690693727091</v>
      </c>
      <c r="O193" s="76">
        <v>1327.2165403688118</v>
      </c>
      <c r="P193" s="76">
        <v>1342.3953600267512</v>
      </c>
      <c r="Q193" s="76">
        <v>1356.5996262888832</v>
      </c>
      <c r="R193" s="76">
        <v>1371.5000638743124</v>
      </c>
      <c r="S193" s="76">
        <v>1388.6413391842766</v>
      </c>
      <c r="T193" s="76">
        <v>1407.3789515771541</v>
      </c>
      <c r="U193" s="76">
        <v>1425.2408257697216</v>
      </c>
      <c r="V193" s="76">
        <v>1441.6484573517223</v>
      </c>
    </row>
    <row r="194" spans="1:22" x14ac:dyDescent="0.3">
      <c r="A194" s="3" t="str">
        <f>INDEX(Mapping!$Y:$Y,MATCH($C194,Mapping!$W:$W,0))</f>
        <v>Rural</v>
      </c>
      <c r="B194" s="3" t="str">
        <f>INDEX(Mapping!$V:$V,MATCH(C194,Mapping!$W:$W,0))</f>
        <v>SWV</v>
      </c>
      <c r="C194" t="s">
        <v>174</v>
      </c>
      <c r="D194">
        <v>0</v>
      </c>
      <c r="E194" s="20"/>
      <c r="F194" s="76">
        <v>192.11316872427986</v>
      </c>
      <c r="G194" s="76">
        <v>195.56790123456793</v>
      </c>
      <c r="H194" s="76">
        <v>194.21604938271605</v>
      </c>
      <c r="I194" s="76">
        <v>225.43904128939656</v>
      </c>
      <c r="J194" s="76">
        <v>226.81482579862791</v>
      </c>
      <c r="K194" s="76">
        <v>228.27441203271908</v>
      </c>
      <c r="L194" s="76">
        <v>229.70616348623597</v>
      </c>
      <c r="M194" s="76">
        <v>231.09665393212245</v>
      </c>
      <c r="N194" s="76">
        <v>232.53221024197168</v>
      </c>
      <c r="O194" s="76">
        <v>233.98013679222024</v>
      </c>
      <c r="P194" s="76">
        <v>235.41019949783879</v>
      </c>
      <c r="Q194" s="76">
        <v>236.84984698746564</v>
      </c>
      <c r="R194" s="76">
        <v>238.24593893693168</v>
      </c>
      <c r="S194" s="76">
        <v>239.66595740048234</v>
      </c>
      <c r="T194" s="76">
        <v>241.16231625406445</v>
      </c>
      <c r="U194" s="76">
        <v>242.72069889309412</v>
      </c>
      <c r="V194" s="76">
        <v>244.2922819797999</v>
      </c>
    </row>
    <row r="195" spans="1:22" x14ac:dyDescent="0.3">
      <c r="A195" s="3" t="str">
        <f>INDEX(Mapping!$Y:$Y,MATCH($C195,Mapping!$W:$W,0))</f>
        <v>Rural</v>
      </c>
      <c r="B195" s="3" t="str">
        <f>INDEX(Mapping!$V:$V,MATCH(C195,Mapping!$W:$W,0))</f>
        <v>SWV</v>
      </c>
      <c r="C195" t="s">
        <v>174</v>
      </c>
      <c r="D195">
        <v>1</v>
      </c>
      <c r="E195" s="20"/>
      <c r="F195" s="76">
        <v>225.44787379972564</v>
      </c>
      <c r="G195" s="76">
        <v>229.50205761316872</v>
      </c>
      <c r="H195" s="76">
        <v>227.91563786008228</v>
      </c>
      <c r="I195" s="76">
        <v>194.21604938271605</v>
      </c>
      <c r="J195" s="76">
        <v>225.43904128939656</v>
      </c>
      <c r="K195" s="76">
        <v>226.81482579862791</v>
      </c>
      <c r="L195" s="76">
        <v>228.27441203271908</v>
      </c>
      <c r="M195" s="76">
        <v>229.70616348623597</v>
      </c>
      <c r="N195" s="76">
        <v>231.09665393212245</v>
      </c>
      <c r="O195" s="76">
        <v>232.53221024197168</v>
      </c>
      <c r="P195" s="76">
        <v>233.98013679222024</v>
      </c>
      <c r="Q195" s="76">
        <v>235.41019949783879</v>
      </c>
      <c r="R195" s="76">
        <v>236.84984698746564</v>
      </c>
      <c r="S195" s="76">
        <v>238.24593893693168</v>
      </c>
      <c r="T195" s="76">
        <v>239.66595740048234</v>
      </c>
      <c r="U195" s="76">
        <v>241.16231625406445</v>
      </c>
      <c r="V195" s="76">
        <v>242.72069889309412</v>
      </c>
    </row>
    <row r="196" spans="1:22" x14ac:dyDescent="0.3">
      <c r="A196" s="3" t="str">
        <f>INDEX(Mapping!$Y:$Y,MATCH($C196,Mapping!$W:$W,0))</f>
        <v>Rural</v>
      </c>
      <c r="B196" s="3" t="str">
        <f>INDEX(Mapping!$V:$V,MATCH(C196,Mapping!$W:$W,0))</f>
        <v>SWV</v>
      </c>
      <c r="C196" t="s">
        <v>174</v>
      </c>
      <c r="D196">
        <v>2</v>
      </c>
      <c r="E196" s="20"/>
      <c r="F196" s="76">
        <v>207.02606310013718</v>
      </c>
      <c r="G196" s="76">
        <v>210.74897119341566</v>
      </c>
      <c r="H196" s="76">
        <v>209.29218106995884</v>
      </c>
      <c r="I196" s="76">
        <v>227.91563786008228</v>
      </c>
      <c r="J196" s="76">
        <v>194.21604938271605</v>
      </c>
      <c r="K196" s="76">
        <v>225.43904128939656</v>
      </c>
      <c r="L196" s="76">
        <v>226.81482579862791</v>
      </c>
      <c r="M196" s="76">
        <v>228.27441203271908</v>
      </c>
      <c r="N196" s="76">
        <v>229.70616348623597</v>
      </c>
      <c r="O196" s="76">
        <v>231.09665393212245</v>
      </c>
      <c r="P196" s="76">
        <v>232.53221024197168</v>
      </c>
      <c r="Q196" s="76">
        <v>233.98013679222024</v>
      </c>
      <c r="R196" s="76">
        <v>235.41019949783879</v>
      </c>
      <c r="S196" s="76">
        <v>236.84984698746564</v>
      </c>
      <c r="T196" s="76">
        <v>238.24593893693168</v>
      </c>
      <c r="U196" s="76">
        <v>239.66595740048234</v>
      </c>
      <c r="V196" s="76">
        <v>241.16231625406445</v>
      </c>
    </row>
    <row r="197" spans="1:22" x14ac:dyDescent="0.3">
      <c r="A197" s="3" t="str">
        <f>INDEX(Mapping!$Y:$Y,MATCH($C197,Mapping!$W:$W,0))</f>
        <v>Rural</v>
      </c>
      <c r="B197" s="3" t="str">
        <f>INDEX(Mapping!$V:$V,MATCH(C197,Mapping!$W:$W,0))</f>
        <v>SWV</v>
      </c>
      <c r="C197" t="s">
        <v>174</v>
      </c>
      <c r="D197">
        <v>3</v>
      </c>
      <c r="E197" s="20"/>
      <c r="F197" s="76">
        <v>236.85185185185185</v>
      </c>
      <c r="G197" s="76">
        <v>241.11111111111109</v>
      </c>
      <c r="H197" s="76">
        <v>239.44444444444443</v>
      </c>
      <c r="I197" s="76">
        <v>209.29218106995884</v>
      </c>
      <c r="J197" s="76">
        <v>227.91563786008228</v>
      </c>
      <c r="K197" s="76">
        <v>194.21604938271605</v>
      </c>
      <c r="L197" s="76">
        <v>225.43904128939656</v>
      </c>
      <c r="M197" s="76">
        <v>226.81482579862791</v>
      </c>
      <c r="N197" s="76">
        <v>228.27441203271908</v>
      </c>
      <c r="O197" s="76">
        <v>229.70616348623597</v>
      </c>
      <c r="P197" s="76">
        <v>231.09665393212245</v>
      </c>
      <c r="Q197" s="76">
        <v>232.53221024197168</v>
      </c>
      <c r="R197" s="76">
        <v>233.98013679222024</v>
      </c>
      <c r="S197" s="76">
        <v>235.41019949783879</v>
      </c>
      <c r="T197" s="76">
        <v>236.84984698746564</v>
      </c>
      <c r="U197" s="76">
        <v>238.24593893693168</v>
      </c>
      <c r="V197" s="76">
        <v>239.66595740048234</v>
      </c>
    </row>
    <row r="198" spans="1:22" x14ac:dyDescent="0.3">
      <c r="A198" s="3" t="str">
        <f>INDEX(Mapping!$Y:$Y,MATCH($C198,Mapping!$W:$W,0))</f>
        <v>Rural</v>
      </c>
      <c r="B198" s="3" t="str">
        <f>INDEX(Mapping!$V:$V,MATCH(C198,Mapping!$W:$W,0))</f>
        <v>SWV</v>
      </c>
      <c r="C198" t="s">
        <v>174</v>
      </c>
      <c r="D198">
        <v>4</v>
      </c>
      <c r="E198" s="20"/>
      <c r="F198" s="76">
        <v>209.65775034293551</v>
      </c>
      <c r="G198" s="76">
        <v>213.42798353909464</v>
      </c>
      <c r="H198" s="76">
        <v>211.95267489711932</v>
      </c>
      <c r="I198" s="76">
        <v>239.44444444444443</v>
      </c>
      <c r="J198" s="76">
        <v>209.29218106995884</v>
      </c>
      <c r="K198" s="76">
        <v>227.91563786008228</v>
      </c>
      <c r="L198" s="76">
        <v>194.21604938271605</v>
      </c>
      <c r="M198" s="76">
        <v>225.43904128939656</v>
      </c>
      <c r="N198" s="76">
        <v>226.81482579862791</v>
      </c>
      <c r="O198" s="76">
        <v>228.27441203271908</v>
      </c>
      <c r="P198" s="76">
        <v>229.70616348623597</v>
      </c>
      <c r="Q198" s="76">
        <v>231.09665393212245</v>
      </c>
      <c r="R198" s="76">
        <v>232.53221024197168</v>
      </c>
      <c r="S198" s="76">
        <v>233.98013679222024</v>
      </c>
      <c r="T198" s="76">
        <v>235.41019949783879</v>
      </c>
      <c r="U198" s="76">
        <v>236.84984698746564</v>
      </c>
      <c r="V198" s="76">
        <v>238.24593893693168</v>
      </c>
    </row>
    <row r="199" spans="1:22" x14ac:dyDescent="0.3">
      <c r="A199" s="3" t="str">
        <f>INDEX(Mapping!$Y:$Y,MATCH($C199,Mapping!$W:$W,0))</f>
        <v>Rural</v>
      </c>
      <c r="B199" s="3" t="str">
        <f>INDEX(Mapping!$V:$V,MATCH(C199,Mapping!$W:$W,0))</f>
        <v>SWV</v>
      </c>
      <c r="C199" t="s">
        <v>174</v>
      </c>
      <c r="D199">
        <v>5</v>
      </c>
      <c r="E199" s="20"/>
      <c r="F199" s="76">
        <v>219.9320987654321</v>
      </c>
      <c r="G199" s="76">
        <v>220.74485596707819</v>
      </c>
      <c r="H199" s="76">
        <v>217.49382716049385</v>
      </c>
      <c r="I199" s="76">
        <v>211.95267489711932</v>
      </c>
      <c r="J199" s="76">
        <v>239.44444444444443</v>
      </c>
      <c r="K199" s="76">
        <v>209.29218106995884</v>
      </c>
      <c r="L199" s="76">
        <v>227.91563786008228</v>
      </c>
      <c r="M199" s="76">
        <v>194.21604938271605</v>
      </c>
      <c r="N199" s="76">
        <v>225.43904128939656</v>
      </c>
      <c r="O199" s="76">
        <v>226.81482579862791</v>
      </c>
      <c r="P199" s="76">
        <v>228.27441203271908</v>
      </c>
      <c r="Q199" s="76">
        <v>229.70616348623597</v>
      </c>
      <c r="R199" s="76">
        <v>231.09665393212245</v>
      </c>
      <c r="S199" s="76">
        <v>232.53221024197168</v>
      </c>
      <c r="T199" s="76">
        <v>233.98013679222024</v>
      </c>
      <c r="U199" s="76">
        <v>235.41019949783879</v>
      </c>
      <c r="V199" s="76">
        <v>236.84984698746564</v>
      </c>
    </row>
    <row r="200" spans="1:22" x14ac:dyDescent="0.3">
      <c r="A200" s="3" t="str">
        <f>INDEX(Mapping!$Y:$Y,MATCH($C200,Mapping!$W:$W,0))</f>
        <v>Interface</v>
      </c>
      <c r="B200" s="3" t="str">
        <f>INDEX(Mapping!$V:$V,MATCH(C200,Mapping!$W:$W,0))</f>
        <v>NWV</v>
      </c>
      <c r="C200" t="s">
        <v>137</v>
      </c>
      <c r="D200">
        <v>0</v>
      </c>
      <c r="E200" s="20"/>
      <c r="F200" s="76">
        <v>2469.2659212445305</v>
      </c>
      <c r="G200" s="76">
        <v>2660.6855723005456</v>
      </c>
      <c r="H200" s="76">
        <v>2762.1839788256898</v>
      </c>
      <c r="I200" s="76">
        <v>2992.4793488779978</v>
      </c>
      <c r="J200" s="76">
        <v>3076.9877019099813</v>
      </c>
      <c r="K200" s="76">
        <v>3162.7810747317321</v>
      </c>
      <c r="L200" s="76">
        <v>3248.4879720532585</v>
      </c>
      <c r="M200" s="76">
        <v>3333.7665952366233</v>
      </c>
      <c r="N200" s="76">
        <v>3421.5687653566847</v>
      </c>
      <c r="O200" s="76">
        <v>3513.1506836982353</v>
      </c>
      <c r="P200" s="76">
        <v>3606.4438191834188</v>
      </c>
      <c r="Q200" s="76">
        <v>3701.7011277082324</v>
      </c>
      <c r="R200" s="76">
        <v>3797.2839864526168</v>
      </c>
      <c r="S200" s="76">
        <v>3892.213079662929</v>
      </c>
      <c r="T200" s="76">
        <v>3988.0493876400046</v>
      </c>
      <c r="U200" s="76">
        <v>4082.7482854272207</v>
      </c>
      <c r="V200" s="76">
        <v>4175.4260279459832</v>
      </c>
    </row>
    <row r="201" spans="1:22" x14ac:dyDescent="0.3">
      <c r="A201" s="3" t="str">
        <f>INDEX(Mapping!$Y:$Y,MATCH($C201,Mapping!$W:$W,0))</f>
        <v>Interface</v>
      </c>
      <c r="B201" s="3" t="str">
        <f>INDEX(Mapping!$V:$V,MATCH(C201,Mapping!$W:$W,0))</f>
        <v>NWV</v>
      </c>
      <c r="C201" t="s">
        <v>137</v>
      </c>
      <c r="D201">
        <v>1</v>
      </c>
      <c r="E201" s="20"/>
      <c r="F201" s="76">
        <v>2624.8565872630043</v>
      </c>
      <c r="G201" s="76">
        <v>2828.3377626532706</v>
      </c>
      <c r="H201" s="76">
        <v>2936.2316750391615</v>
      </c>
      <c r="I201" s="76">
        <v>2762.1839788256898</v>
      </c>
      <c r="J201" s="76">
        <v>2992.4793488779978</v>
      </c>
      <c r="K201" s="76">
        <v>3076.9877019099813</v>
      </c>
      <c r="L201" s="76">
        <v>3162.7810747317321</v>
      </c>
      <c r="M201" s="76">
        <v>3248.4879720532585</v>
      </c>
      <c r="N201" s="76">
        <v>3333.7665952366233</v>
      </c>
      <c r="O201" s="76">
        <v>3421.5687653566847</v>
      </c>
      <c r="P201" s="76">
        <v>3513.1506836982353</v>
      </c>
      <c r="Q201" s="76">
        <v>3606.4438191834188</v>
      </c>
      <c r="R201" s="76">
        <v>3701.7011277082324</v>
      </c>
      <c r="S201" s="76">
        <v>3797.2839864526168</v>
      </c>
      <c r="T201" s="76">
        <v>3892.213079662929</v>
      </c>
      <c r="U201" s="76">
        <v>3988.0493876400046</v>
      </c>
      <c r="V201" s="76">
        <v>4082.7482854272207</v>
      </c>
    </row>
    <row r="202" spans="1:22" x14ac:dyDescent="0.3">
      <c r="A202" s="3" t="str">
        <f>INDEX(Mapping!$Y:$Y,MATCH($C202,Mapping!$W:$W,0))</f>
        <v>Interface</v>
      </c>
      <c r="B202" s="3" t="str">
        <f>INDEX(Mapping!$V:$V,MATCH(C202,Mapping!$W:$W,0))</f>
        <v>NWV</v>
      </c>
      <c r="C202" t="s">
        <v>137</v>
      </c>
      <c r="D202">
        <v>2</v>
      </c>
      <c r="E202" s="20"/>
      <c r="F202" s="76">
        <v>2660.1798736023334</v>
      </c>
      <c r="G202" s="76">
        <v>2866.3993410036192</v>
      </c>
      <c r="H202" s="76">
        <v>2975.745206071409</v>
      </c>
      <c r="I202" s="76">
        <v>2936.2316750391615</v>
      </c>
      <c r="J202" s="76">
        <v>2762.1839788256898</v>
      </c>
      <c r="K202" s="76">
        <v>2992.4793488779978</v>
      </c>
      <c r="L202" s="76">
        <v>3076.9877019099813</v>
      </c>
      <c r="M202" s="76">
        <v>3162.7810747317321</v>
      </c>
      <c r="N202" s="76">
        <v>3248.4879720532585</v>
      </c>
      <c r="O202" s="76">
        <v>3333.7665952366233</v>
      </c>
      <c r="P202" s="76">
        <v>3421.5687653566847</v>
      </c>
      <c r="Q202" s="76">
        <v>3513.1506836982353</v>
      </c>
      <c r="R202" s="76">
        <v>3606.4438191834188</v>
      </c>
      <c r="S202" s="76">
        <v>3701.7011277082324</v>
      </c>
      <c r="T202" s="76">
        <v>3797.2839864526168</v>
      </c>
      <c r="U202" s="76">
        <v>3892.213079662929</v>
      </c>
      <c r="V202" s="76">
        <v>3988.0493876400046</v>
      </c>
    </row>
    <row r="203" spans="1:22" x14ac:dyDescent="0.3">
      <c r="A203" s="3" t="str">
        <f>INDEX(Mapping!$Y:$Y,MATCH($C203,Mapping!$W:$W,0))</f>
        <v>Interface</v>
      </c>
      <c r="B203" s="3" t="str">
        <f>INDEX(Mapping!$V:$V,MATCH(C203,Mapping!$W:$W,0))</f>
        <v>NWV</v>
      </c>
      <c r="C203" t="s">
        <v>137</v>
      </c>
      <c r="D203">
        <v>3</v>
      </c>
      <c r="E203" s="20"/>
      <c r="F203" s="76">
        <v>2692.139037433155</v>
      </c>
      <c r="G203" s="76">
        <v>2900.8360071301249</v>
      </c>
      <c r="H203" s="76">
        <v>3011.4955436720143</v>
      </c>
      <c r="I203" s="76">
        <v>2975.745206071409</v>
      </c>
      <c r="J203" s="76">
        <v>2936.2316750391615</v>
      </c>
      <c r="K203" s="76">
        <v>2762.1839788256898</v>
      </c>
      <c r="L203" s="76">
        <v>2992.4793488779978</v>
      </c>
      <c r="M203" s="76">
        <v>3076.9877019099813</v>
      </c>
      <c r="N203" s="76">
        <v>3162.7810747317321</v>
      </c>
      <c r="O203" s="76">
        <v>3248.4879720532585</v>
      </c>
      <c r="P203" s="76">
        <v>3333.7665952366233</v>
      </c>
      <c r="Q203" s="76">
        <v>3421.5687653566847</v>
      </c>
      <c r="R203" s="76">
        <v>3513.1506836982353</v>
      </c>
      <c r="S203" s="76">
        <v>3606.4438191834188</v>
      </c>
      <c r="T203" s="76">
        <v>3701.7011277082324</v>
      </c>
      <c r="U203" s="76">
        <v>3797.2839864526168</v>
      </c>
      <c r="V203" s="76">
        <v>3892.213079662929</v>
      </c>
    </row>
    <row r="204" spans="1:22" x14ac:dyDescent="0.3">
      <c r="A204" s="3" t="str">
        <f>INDEX(Mapping!$Y:$Y,MATCH($C204,Mapping!$W:$W,0))</f>
        <v>Interface</v>
      </c>
      <c r="B204" s="3" t="str">
        <f>INDEX(Mapping!$V:$V,MATCH(C204,Mapping!$W:$W,0))</f>
        <v>NWV</v>
      </c>
      <c r="C204" t="s">
        <v>137</v>
      </c>
      <c r="D204">
        <v>4</v>
      </c>
      <c r="E204" s="20"/>
      <c r="F204" s="76">
        <v>2626.538648517258</v>
      </c>
      <c r="G204" s="76">
        <v>2830.1502187651922</v>
      </c>
      <c r="H204" s="76">
        <v>2938.1132717549831</v>
      </c>
      <c r="I204" s="76">
        <v>3011.4955436720143</v>
      </c>
      <c r="J204" s="76">
        <v>2975.745206071409</v>
      </c>
      <c r="K204" s="76">
        <v>2936.2316750391615</v>
      </c>
      <c r="L204" s="76">
        <v>2762.1839788256898</v>
      </c>
      <c r="M204" s="76">
        <v>2992.4793488779978</v>
      </c>
      <c r="N204" s="76">
        <v>3076.9877019099813</v>
      </c>
      <c r="O204" s="76">
        <v>3162.7810747317321</v>
      </c>
      <c r="P204" s="76">
        <v>3248.4879720532585</v>
      </c>
      <c r="Q204" s="76">
        <v>3333.7665952366233</v>
      </c>
      <c r="R204" s="76">
        <v>3421.5687653566847</v>
      </c>
      <c r="S204" s="76">
        <v>3513.1506836982353</v>
      </c>
      <c r="T204" s="76">
        <v>3606.4438191834188</v>
      </c>
      <c r="U204" s="76">
        <v>3701.7011277082324</v>
      </c>
      <c r="V204" s="76">
        <v>3797.2839864526168</v>
      </c>
    </row>
    <row r="205" spans="1:22" x14ac:dyDescent="0.3">
      <c r="A205" s="3" t="str">
        <f>INDEX(Mapping!$Y:$Y,MATCH($C205,Mapping!$W:$W,0))</f>
        <v>Interface</v>
      </c>
      <c r="B205" s="3" t="str">
        <f>INDEX(Mapping!$V:$V,MATCH(C205,Mapping!$W:$W,0))</f>
        <v>NWV</v>
      </c>
      <c r="C205" t="s">
        <v>137</v>
      </c>
      <c r="D205">
        <v>5</v>
      </c>
      <c r="E205" s="20"/>
      <c r="F205" s="76">
        <v>2363.5889375033762</v>
      </c>
      <c r="G205" s="76">
        <v>2479.0580673040567</v>
      </c>
      <c r="H205" s="76">
        <v>2585.2255172041268</v>
      </c>
      <c r="I205" s="76">
        <v>2938.1132717549831</v>
      </c>
      <c r="J205" s="76">
        <v>3011.4955436720143</v>
      </c>
      <c r="K205" s="76">
        <v>2975.745206071409</v>
      </c>
      <c r="L205" s="76">
        <v>2936.2316750391615</v>
      </c>
      <c r="M205" s="76">
        <v>2762.1839788256898</v>
      </c>
      <c r="N205" s="76">
        <v>2992.4793488779978</v>
      </c>
      <c r="O205" s="76">
        <v>3076.9877019099813</v>
      </c>
      <c r="P205" s="76">
        <v>3162.7810747317321</v>
      </c>
      <c r="Q205" s="76">
        <v>3248.4879720532585</v>
      </c>
      <c r="R205" s="76">
        <v>3333.7665952366233</v>
      </c>
      <c r="S205" s="76">
        <v>3421.5687653566847</v>
      </c>
      <c r="T205" s="76">
        <v>3513.1506836982353</v>
      </c>
      <c r="U205" s="76">
        <v>3606.4438191834188</v>
      </c>
      <c r="V205" s="76">
        <v>3701.7011277082324</v>
      </c>
    </row>
    <row r="206" spans="1:22" x14ac:dyDescent="0.3">
      <c r="A206" s="3" t="str">
        <f>INDEX(Mapping!$Y:$Y,MATCH($C206,Mapping!$W:$W,0))</f>
        <v>Rural</v>
      </c>
      <c r="B206" s="3" t="str">
        <f>INDEX(Mapping!$V:$V,MATCH(C206,Mapping!$W:$W,0))</f>
        <v>NEV</v>
      </c>
      <c r="C206" t="s">
        <v>115</v>
      </c>
      <c r="D206">
        <v>0</v>
      </c>
      <c r="E206" s="20"/>
      <c r="F206" s="76">
        <v>109.64323189926547</v>
      </c>
      <c r="G206" s="76">
        <v>115.32843651626442</v>
      </c>
      <c r="H206" s="76">
        <v>113.4333683105981</v>
      </c>
      <c r="I206" s="76">
        <v>119.25948755600226</v>
      </c>
      <c r="J206" s="76">
        <v>119.61665843646573</v>
      </c>
      <c r="K206" s="76">
        <v>119.99962793851493</v>
      </c>
      <c r="L206" s="76">
        <v>120.38745433069133</v>
      </c>
      <c r="M206" s="76">
        <v>120.772493070707</v>
      </c>
      <c r="N206" s="76">
        <v>121.20045262534185</v>
      </c>
      <c r="O206" s="76">
        <v>121.66674335844753</v>
      </c>
      <c r="P206" s="76">
        <v>122.14640735039265</v>
      </c>
      <c r="Q206" s="76">
        <v>122.64057878988845</v>
      </c>
      <c r="R206" s="76">
        <v>123.1759555307202</v>
      </c>
      <c r="S206" s="76">
        <v>123.72251642154866</v>
      </c>
      <c r="T206" s="76">
        <v>124.28426315959193</v>
      </c>
      <c r="U206" s="76">
        <v>124.86239653200209</v>
      </c>
      <c r="V206" s="76">
        <v>125.4302339251888</v>
      </c>
    </row>
    <row r="207" spans="1:22" x14ac:dyDescent="0.3">
      <c r="A207" s="3" t="str">
        <f>INDEX(Mapping!$Y:$Y,MATCH($C207,Mapping!$W:$W,0))</f>
        <v>Rural</v>
      </c>
      <c r="B207" s="3" t="str">
        <f>INDEX(Mapping!$V:$V,MATCH(C207,Mapping!$W:$W,0))</f>
        <v>NEV</v>
      </c>
      <c r="C207" t="s">
        <v>115</v>
      </c>
      <c r="D207">
        <v>1</v>
      </c>
      <c r="E207" s="20"/>
      <c r="F207" s="76">
        <v>129.19202518363065</v>
      </c>
      <c r="G207" s="76">
        <v>135.89087093389298</v>
      </c>
      <c r="H207" s="76">
        <v>133.65792235047221</v>
      </c>
      <c r="I207" s="76">
        <v>113.4333683105981</v>
      </c>
      <c r="J207" s="76">
        <v>119.25948755600226</v>
      </c>
      <c r="K207" s="76">
        <v>119.61665843646573</v>
      </c>
      <c r="L207" s="76">
        <v>119.99962793851493</v>
      </c>
      <c r="M207" s="76">
        <v>120.38745433069133</v>
      </c>
      <c r="N207" s="76">
        <v>120.772493070707</v>
      </c>
      <c r="O207" s="76">
        <v>121.20045262534185</v>
      </c>
      <c r="P207" s="76">
        <v>121.66674335844753</v>
      </c>
      <c r="Q207" s="76">
        <v>122.14640735039265</v>
      </c>
      <c r="R207" s="76">
        <v>122.64057878988845</v>
      </c>
      <c r="S207" s="76">
        <v>123.1759555307202</v>
      </c>
      <c r="T207" s="76">
        <v>123.72251642154866</v>
      </c>
      <c r="U207" s="76">
        <v>124.28426315959193</v>
      </c>
      <c r="V207" s="76">
        <v>124.86239653200209</v>
      </c>
    </row>
    <row r="208" spans="1:22" x14ac:dyDescent="0.3">
      <c r="A208" s="3" t="str">
        <f>INDEX(Mapping!$Y:$Y,MATCH($C208,Mapping!$W:$W,0))</f>
        <v>Rural</v>
      </c>
      <c r="B208" s="3" t="str">
        <f>INDEX(Mapping!$V:$V,MATCH(C208,Mapping!$W:$W,0))</f>
        <v>NEV</v>
      </c>
      <c r="C208" t="s">
        <v>115</v>
      </c>
      <c r="D208">
        <v>2</v>
      </c>
      <c r="E208" s="20"/>
      <c r="F208" s="76">
        <v>124.94228751311648</v>
      </c>
      <c r="G208" s="76">
        <v>131.42077649527806</v>
      </c>
      <c r="H208" s="76">
        <v>129.26128016789087</v>
      </c>
      <c r="I208" s="76">
        <v>133.65792235047221</v>
      </c>
      <c r="J208" s="76">
        <v>113.4333683105981</v>
      </c>
      <c r="K208" s="76">
        <v>119.25948755600226</v>
      </c>
      <c r="L208" s="76">
        <v>119.61665843646573</v>
      </c>
      <c r="M208" s="76">
        <v>119.99962793851493</v>
      </c>
      <c r="N208" s="76">
        <v>120.38745433069133</v>
      </c>
      <c r="O208" s="76">
        <v>120.772493070707</v>
      </c>
      <c r="P208" s="76">
        <v>121.20045262534185</v>
      </c>
      <c r="Q208" s="76">
        <v>121.66674335844753</v>
      </c>
      <c r="R208" s="76">
        <v>122.14640735039265</v>
      </c>
      <c r="S208" s="76">
        <v>122.64057878988845</v>
      </c>
      <c r="T208" s="76">
        <v>123.1759555307202</v>
      </c>
      <c r="U208" s="76">
        <v>123.72251642154866</v>
      </c>
      <c r="V208" s="76">
        <v>124.28426315959193</v>
      </c>
    </row>
    <row r="209" spans="1:22" x14ac:dyDescent="0.3">
      <c r="A209" s="3" t="str">
        <f>INDEX(Mapping!$Y:$Y,MATCH($C209,Mapping!$W:$W,0))</f>
        <v>Rural</v>
      </c>
      <c r="B209" s="3" t="str">
        <f>INDEX(Mapping!$V:$V,MATCH(C209,Mapping!$W:$W,0))</f>
        <v>NEV</v>
      </c>
      <c r="C209" t="s">
        <v>115</v>
      </c>
      <c r="D209">
        <v>3</v>
      </c>
      <c r="E209" s="20"/>
      <c r="F209" s="76">
        <v>145.34102833158448</v>
      </c>
      <c r="G209" s="76">
        <v>152.87722980062958</v>
      </c>
      <c r="H209" s="76">
        <v>150.36516264428121</v>
      </c>
      <c r="I209" s="76">
        <v>129.26128016789087</v>
      </c>
      <c r="J209" s="76">
        <v>133.65792235047221</v>
      </c>
      <c r="K209" s="76">
        <v>113.4333683105981</v>
      </c>
      <c r="L209" s="76">
        <v>119.25948755600226</v>
      </c>
      <c r="M209" s="76">
        <v>119.61665843646573</v>
      </c>
      <c r="N209" s="76">
        <v>119.99962793851493</v>
      </c>
      <c r="O209" s="76">
        <v>120.38745433069133</v>
      </c>
      <c r="P209" s="76">
        <v>120.772493070707</v>
      </c>
      <c r="Q209" s="76">
        <v>121.20045262534185</v>
      </c>
      <c r="R209" s="76">
        <v>121.66674335844753</v>
      </c>
      <c r="S209" s="76">
        <v>122.14640735039265</v>
      </c>
      <c r="T209" s="76">
        <v>122.64057878988845</v>
      </c>
      <c r="U209" s="76">
        <v>123.1759555307202</v>
      </c>
      <c r="V209" s="76">
        <v>123.72251642154866</v>
      </c>
    </row>
    <row r="210" spans="1:22" x14ac:dyDescent="0.3">
      <c r="A210" s="3" t="str">
        <f>INDEX(Mapping!$Y:$Y,MATCH($C210,Mapping!$W:$W,0))</f>
        <v>Rural</v>
      </c>
      <c r="B210" s="3" t="str">
        <f>INDEX(Mapping!$V:$V,MATCH(C210,Mapping!$W:$W,0))</f>
        <v>NEV</v>
      </c>
      <c r="C210" t="s">
        <v>115</v>
      </c>
      <c r="D210">
        <v>4</v>
      </c>
      <c r="E210" s="20"/>
      <c r="F210" s="76">
        <v>151.29066107030431</v>
      </c>
      <c r="G210" s="76">
        <v>159.13536201469046</v>
      </c>
      <c r="H210" s="76">
        <v>156.52046169989507</v>
      </c>
      <c r="I210" s="76">
        <v>150.36516264428121</v>
      </c>
      <c r="J210" s="76">
        <v>129.26128016789087</v>
      </c>
      <c r="K210" s="76">
        <v>133.65792235047221</v>
      </c>
      <c r="L210" s="76">
        <v>113.4333683105981</v>
      </c>
      <c r="M210" s="76">
        <v>119.25948755600226</v>
      </c>
      <c r="N210" s="76">
        <v>119.61665843646573</v>
      </c>
      <c r="O210" s="76">
        <v>119.99962793851493</v>
      </c>
      <c r="P210" s="76">
        <v>120.38745433069133</v>
      </c>
      <c r="Q210" s="76">
        <v>120.772493070707</v>
      </c>
      <c r="R210" s="76">
        <v>121.20045262534185</v>
      </c>
      <c r="S210" s="76">
        <v>121.66674335844753</v>
      </c>
      <c r="T210" s="76">
        <v>122.14640735039265</v>
      </c>
      <c r="U210" s="76">
        <v>122.64057878988845</v>
      </c>
      <c r="V210" s="76">
        <v>123.1759555307202</v>
      </c>
    </row>
    <row r="211" spans="1:22" x14ac:dyDescent="0.3">
      <c r="A211" s="3" t="str">
        <f>INDEX(Mapping!$Y:$Y,MATCH($C211,Mapping!$W:$W,0))</f>
        <v>Rural</v>
      </c>
      <c r="B211" s="3" t="str">
        <f>INDEX(Mapping!$V:$V,MATCH(C211,Mapping!$W:$W,0))</f>
        <v>NEV</v>
      </c>
      <c r="C211" t="s">
        <v>115</v>
      </c>
      <c r="D211">
        <v>5</v>
      </c>
      <c r="E211" s="20"/>
      <c r="F211" s="76">
        <v>191.32843651626442</v>
      </c>
      <c r="G211" s="76">
        <v>194.6526757607555</v>
      </c>
      <c r="H211" s="76">
        <v>185.97271773347325</v>
      </c>
      <c r="I211" s="76">
        <v>156.52046169989507</v>
      </c>
      <c r="J211" s="76">
        <v>150.36516264428121</v>
      </c>
      <c r="K211" s="76">
        <v>129.26128016789087</v>
      </c>
      <c r="L211" s="76">
        <v>133.65792235047221</v>
      </c>
      <c r="M211" s="76">
        <v>113.4333683105981</v>
      </c>
      <c r="N211" s="76">
        <v>119.25948755600226</v>
      </c>
      <c r="O211" s="76">
        <v>119.61665843646573</v>
      </c>
      <c r="P211" s="76">
        <v>119.99962793851493</v>
      </c>
      <c r="Q211" s="76">
        <v>120.38745433069133</v>
      </c>
      <c r="R211" s="76">
        <v>120.772493070707</v>
      </c>
      <c r="S211" s="76">
        <v>121.20045262534185</v>
      </c>
      <c r="T211" s="76">
        <v>121.66674335844753</v>
      </c>
      <c r="U211" s="76">
        <v>122.14640735039265</v>
      </c>
      <c r="V211" s="76">
        <v>122.64057878988845</v>
      </c>
    </row>
    <row r="212" spans="1:22" x14ac:dyDescent="0.3">
      <c r="A212" s="3" t="str">
        <f>INDEX(Mapping!$Y:$Y,MATCH($C212,Mapping!$W:$W,0))</f>
        <v>Metro</v>
      </c>
      <c r="B212" s="3" t="str">
        <f>INDEX(Mapping!$V:$V,MATCH(C212,Mapping!$W:$W,0))</f>
        <v>SEV</v>
      </c>
      <c r="C212" t="s">
        <v>156</v>
      </c>
      <c r="D212">
        <v>0</v>
      </c>
      <c r="E212" s="20"/>
      <c r="F212" s="76">
        <v>1578.1944318078429</v>
      </c>
      <c r="G212" s="76">
        <v>1589.8375034118826</v>
      </c>
      <c r="H212" s="76">
        <v>1585.8501501228279</v>
      </c>
      <c r="I212" s="76">
        <v>1815.7055656412347</v>
      </c>
      <c r="J212" s="76">
        <v>1835.907542616507</v>
      </c>
      <c r="K212" s="76">
        <v>1856.3338128065245</v>
      </c>
      <c r="L212" s="76">
        <v>1875.4927731597129</v>
      </c>
      <c r="M212" s="76">
        <v>1894.5611352090432</v>
      </c>
      <c r="N212" s="76">
        <v>1913.8986624471643</v>
      </c>
      <c r="O212" s="76">
        <v>1933.6590360167679</v>
      </c>
      <c r="P212" s="76">
        <v>1952.6592143054193</v>
      </c>
      <c r="Q212" s="76">
        <v>1971.6663781149134</v>
      </c>
      <c r="R212" s="76">
        <v>1991.9230932744867</v>
      </c>
      <c r="S212" s="76">
        <v>2012.5666547792366</v>
      </c>
      <c r="T212" s="76">
        <v>2033.3460578315344</v>
      </c>
      <c r="U212" s="76">
        <v>2054.3840187138526</v>
      </c>
      <c r="V212" s="76">
        <v>2075.9203907526776</v>
      </c>
    </row>
    <row r="213" spans="1:22" x14ac:dyDescent="0.3">
      <c r="A213" s="3" t="str">
        <f>INDEX(Mapping!$Y:$Y,MATCH($C213,Mapping!$W:$W,0))</f>
        <v>Metro</v>
      </c>
      <c r="B213" s="3" t="str">
        <f>INDEX(Mapping!$V:$V,MATCH(C213,Mapping!$W:$W,0))</f>
        <v>SEV</v>
      </c>
      <c r="C213" t="s">
        <v>156</v>
      </c>
      <c r="D213">
        <v>1</v>
      </c>
      <c r="E213" s="20"/>
      <c r="F213" s="76">
        <v>1657.419252115367</v>
      </c>
      <c r="G213" s="76">
        <v>1669.6468019288509</v>
      </c>
      <c r="H213" s="76">
        <v>1665.4592848694385</v>
      </c>
      <c r="I213" s="76">
        <v>1585.8501501228279</v>
      </c>
      <c r="J213" s="76">
        <v>1815.7055656412347</v>
      </c>
      <c r="K213" s="76">
        <v>1835.907542616507</v>
      </c>
      <c r="L213" s="76">
        <v>1856.3338128065245</v>
      </c>
      <c r="M213" s="76">
        <v>1875.4927731597129</v>
      </c>
      <c r="N213" s="76">
        <v>1894.5611352090432</v>
      </c>
      <c r="O213" s="76">
        <v>1913.8986624471643</v>
      </c>
      <c r="P213" s="76">
        <v>1933.6590360167679</v>
      </c>
      <c r="Q213" s="76">
        <v>1952.6592143054193</v>
      </c>
      <c r="R213" s="76">
        <v>1971.6663781149134</v>
      </c>
      <c r="S213" s="76">
        <v>1991.9230932744867</v>
      </c>
      <c r="T213" s="76">
        <v>2012.5666547792366</v>
      </c>
      <c r="U213" s="76">
        <v>2033.3460578315344</v>
      </c>
      <c r="V213" s="76">
        <v>2054.3840187138526</v>
      </c>
    </row>
    <row r="214" spans="1:22" x14ac:dyDescent="0.3">
      <c r="A214" s="3" t="str">
        <f>INDEX(Mapping!$Y:$Y,MATCH($C214,Mapping!$W:$W,0))</f>
        <v>Metro</v>
      </c>
      <c r="B214" s="3" t="str">
        <f>INDEX(Mapping!$V:$V,MATCH(C214,Mapping!$W:$W,0))</f>
        <v>SEV</v>
      </c>
      <c r="C214" t="s">
        <v>156</v>
      </c>
      <c r="D214">
        <v>2</v>
      </c>
      <c r="E214" s="20"/>
      <c r="F214" s="76">
        <v>1594.3995086889272</v>
      </c>
      <c r="G214" s="76">
        <v>1606.1621326539896</v>
      </c>
      <c r="H214" s="76">
        <v>1602.1338367755436</v>
      </c>
      <c r="I214" s="76">
        <v>1665.4592848694385</v>
      </c>
      <c r="J214" s="76">
        <v>1585.8501501228279</v>
      </c>
      <c r="K214" s="76">
        <v>1815.7055656412347</v>
      </c>
      <c r="L214" s="76">
        <v>1835.907542616507</v>
      </c>
      <c r="M214" s="76">
        <v>1856.3338128065245</v>
      </c>
      <c r="N214" s="76">
        <v>1875.4927731597129</v>
      </c>
      <c r="O214" s="76">
        <v>1894.5611352090432</v>
      </c>
      <c r="P214" s="76">
        <v>1913.8986624471643</v>
      </c>
      <c r="Q214" s="76">
        <v>1933.6590360167679</v>
      </c>
      <c r="R214" s="76">
        <v>1952.6592143054193</v>
      </c>
      <c r="S214" s="76">
        <v>1971.6663781149134</v>
      </c>
      <c r="T214" s="76">
        <v>1991.9230932744867</v>
      </c>
      <c r="U214" s="76">
        <v>2012.5666547792366</v>
      </c>
      <c r="V214" s="76">
        <v>2033.3460578315344</v>
      </c>
    </row>
    <row r="215" spans="1:22" x14ac:dyDescent="0.3">
      <c r="A215" s="3" t="str">
        <f>INDEX(Mapping!$Y:$Y,MATCH($C215,Mapping!$W:$W,0))</f>
        <v>Metro</v>
      </c>
      <c r="B215" s="3" t="str">
        <f>INDEX(Mapping!$V:$V,MATCH(C215,Mapping!$W:$W,0))</f>
        <v>SEV</v>
      </c>
      <c r="C215" t="s">
        <v>156</v>
      </c>
      <c r="D215">
        <v>3</v>
      </c>
      <c r="E215" s="20"/>
      <c r="F215" s="76">
        <v>1735.7437903739424</v>
      </c>
      <c r="G215" s="76">
        <v>1748.5491765990355</v>
      </c>
      <c r="H215" s="76">
        <v>1744.1637703575652</v>
      </c>
      <c r="I215" s="76">
        <v>1602.1338367755436</v>
      </c>
      <c r="J215" s="76">
        <v>1665.4592848694385</v>
      </c>
      <c r="K215" s="76">
        <v>1585.8501501228279</v>
      </c>
      <c r="L215" s="76">
        <v>1815.7055656412347</v>
      </c>
      <c r="M215" s="76">
        <v>1835.907542616507</v>
      </c>
      <c r="N215" s="76">
        <v>1856.3338128065245</v>
      </c>
      <c r="O215" s="76">
        <v>1875.4927731597129</v>
      </c>
      <c r="P215" s="76">
        <v>1894.5611352090432</v>
      </c>
      <c r="Q215" s="76">
        <v>1913.8986624471643</v>
      </c>
      <c r="R215" s="76">
        <v>1933.6590360167679</v>
      </c>
      <c r="S215" s="76">
        <v>1952.6592143054193</v>
      </c>
      <c r="T215" s="76">
        <v>1971.6663781149134</v>
      </c>
      <c r="U215" s="76">
        <v>1991.9230932744867</v>
      </c>
      <c r="V215" s="76">
        <v>2012.5666547792366</v>
      </c>
    </row>
    <row r="216" spans="1:22" x14ac:dyDescent="0.3">
      <c r="A216" s="3" t="str">
        <f>INDEX(Mapping!$Y:$Y,MATCH($C216,Mapping!$W:$W,0))</f>
        <v>Metro</v>
      </c>
      <c r="B216" s="3" t="str">
        <f>INDEX(Mapping!$V:$V,MATCH(C216,Mapping!$W:$W,0))</f>
        <v>SEV</v>
      </c>
      <c r="C216" t="s">
        <v>156</v>
      </c>
      <c r="D216">
        <v>4</v>
      </c>
      <c r="E216" s="20"/>
      <c r="F216" s="76">
        <v>1633.1116367937402</v>
      </c>
      <c r="G216" s="76">
        <v>1645.1598580656901</v>
      </c>
      <c r="H216" s="76">
        <v>1641.0337548903647</v>
      </c>
      <c r="I216" s="76">
        <v>1744.1637703575652</v>
      </c>
      <c r="J216" s="76">
        <v>1602.1338367755436</v>
      </c>
      <c r="K216" s="76">
        <v>1665.4592848694385</v>
      </c>
      <c r="L216" s="76">
        <v>1585.8501501228279</v>
      </c>
      <c r="M216" s="76">
        <v>1815.7055656412347</v>
      </c>
      <c r="N216" s="76">
        <v>1835.907542616507</v>
      </c>
      <c r="O216" s="76">
        <v>1856.3338128065245</v>
      </c>
      <c r="P216" s="76">
        <v>1875.4927731597129</v>
      </c>
      <c r="Q216" s="76">
        <v>1894.5611352090432</v>
      </c>
      <c r="R216" s="76">
        <v>1913.8986624471643</v>
      </c>
      <c r="S216" s="76">
        <v>1933.6590360167679</v>
      </c>
      <c r="T216" s="76">
        <v>1952.6592143054193</v>
      </c>
      <c r="U216" s="76">
        <v>1971.6663781149134</v>
      </c>
      <c r="V216" s="76">
        <v>1991.9230932744867</v>
      </c>
    </row>
    <row r="217" spans="1:22" x14ac:dyDescent="0.3">
      <c r="A217" s="3" t="str">
        <f>INDEX(Mapping!$Y:$Y,MATCH($C217,Mapping!$W:$W,0))</f>
        <v>Metro</v>
      </c>
      <c r="B217" s="3" t="str">
        <f>INDEX(Mapping!$V:$V,MATCH(C217,Mapping!$W:$W,0))</f>
        <v>SEV</v>
      </c>
      <c r="C217" t="s">
        <v>156</v>
      </c>
      <c r="D217">
        <v>5</v>
      </c>
      <c r="E217" s="20"/>
      <c r="F217" s="76">
        <v>1632.3657537985623</v>
      </c>
      <c r="G217" s="76">
        <v>1681.9041033572921</v>
      </c>
      <c r="H217" s="76">
        <v>1685.1609498680737</v>
      </c>
      <c r="I217" s="76">
        <v>1641.0337548903647</v>
      </c>
      <c r="J217" s="76">
        <v>1744.1637703575652</v>
      </c>
      <c r="K217" s="76">
        <v>1602.1338367755436</v>
      </c>
      <c r="L217" s="76">
        <v>1665.4592848694385</v>
      </c>
      <c r="M217" s="76">
        <v>1585.8501501228279</v>
      </c>
      <c r="N217" s="76">
        <v>1815.7055656412347</v>
      </c>
      <c r="O217" s="76">
        <v>1835.907542616507</v>
      </c>
      <c r="P217" s="76">
        <v>1856.3338128065245</v>
      </c>
      <c r="Q217" s="76">
        <v>1875.4927731597129</v>
      </c>
      <c r="R217" s="76">
        <v>1894.5611352090432</v>
      </c>
      <c r="S217" s="76">
        <v>1913.8986624471643</v>
      </c>
      <c r="T217" s="76">
        <v>1933.6590360167679</v>
      </c>
      <c r="U217" s="76">
        <v>1952.6592143054193</v>
      </c>
      <c r="V217" s="76">
        <v>1971.6663781149134</v>
      </c>
    </row>
    <row r="218" spans="1:22" x14ac:dyDescent="0.3">
      <c r="A218" s="3" t="str">
        <f>INDEX(Mapping!$Y:$Y,MATCH($C218,Mapping!$W:$W,0))</f>
        <v>Metro</v>
      </c>
      <c r="B218" s="3" t="str">
        <f>INDEX(Mapping!$V:$V,MATCH(C218,Mapping!$W:$W,0))</f>
        <v>NEV</v>
      </c>
      <c r="C218" t="s">
        <v>116</v>
      </c>
      <c r="D218">
        <v>0</v>
      </c>
      <c r="E218" s="20"/>
      <c r="F218" s="76">
        <v>1549.9268924671478</v>
      </c>
      <c r="G218" s="76">
        <v>1576.0873588746992</v>
      </c>
      <c r="H218" s="76">
        <v>1591.7513418471219</v>
      </c>
      <c r="I218" s="76">
        <v>1763.1724704355795</v>
      </c>
      <c r="J218" s="76">
        <v>1779.7196417040855</v>
      </c>
      <c r="K218" s="76">
        <v>1797.5986849748074</v>
      </c>
      <c r="L218" s="76">
        <v>1814.8208357802553</v>
      </c>
      <c r="M218" s="76">
        <v>1832.4105589641549</v>
      </c>
      <c r="N218" s="76">
        <v>1849.7475965800454</v>
      </c>
      <c r="O218" s="76">
        <v>1867.3072790345875</v>
      </c>
      <c r="P218" s="76">
        <v>1884.0585518683974</v>
      </c>
      <c r="Q218" s="76">
        <v>1901.1041153047806</v>
      </c>
      <c r="R218" s="76">
        <v>1918.7461069794397</v>
      </c>
      <c r="S218" s="76">
        <v>1936.8993351925483</v>
      </c>
      <c r="T218" s="76">
        <v>1955.3449646924739</v>
      </c>
      <c r="U218" s="76">
        <v>1974.0956641834225</v>
      </c>
      <c r="V218" s="76">
        <v>1993.4389008518528</v>
      </c>
    </row>
    <row r="219" spans="1:22" x14ac:dyDescent="0.3">
      <c r="A219" s="3" t="str">
        <f>INDEX(Mapping!$Y:$Y,MATCH($C219,Mapping!$W:$W,0))</f>
        <v>Metro</v>
      </c>
      <c r="B219" s="3" t="str">
        <f>INDEX(Mapping!$V:$V,MATCH(C219,Mapping!$W:$W,0))</f>
        <v>NEV</v>
      </c>
      <c r="C219" t="s">
        <v>116</v>
      </c>
      <c r="D219">
        <v>1</v>
      </c>
      <c r="E219" s="20"/>
      <c r="F219" s="76">
        <v>1562.3618360170276</v>
      </c>
      <c r="G219" s="76">
        <v>1588.732185822691</v>
      </c>
      <c r="H219" s="76">
        <v>1604.5218397186748</v>
      </c>
      <c r="I219" s="76">
        <v>1591.7513418471219</v>
      </c>
      <c r="J219" s="76">
        <v>1763.1724704355795</v>
      </c>
      <c r="K219" s="76">
        <v>1779.7196417040855</v>
      </c>
      <c r="L219" s="76">
        <v>1797.5986849748074</v>
      </c>
      <c r="M219" s="76">
        <v>1814.8208357802553</v>
      </c>
      <c r="N219" s="76">
        <v>1832.4105589641549</v>
      </c>
      <c r="O219" s="76">
        <v>1849.7475965800454</v>
      </c>
      <c r="P219" s="76">
        <v>1867.3072790345875</v>
      </c>
      <c r="Q219" s="76">
        <v>1884.0585518683974</v>
      </c>
      <c r="R219" s="76">
        <v>1901.1041153047806</v>
      </c>
      <c r="S219" s="76">
        <v>1918.7461069794397</v>
      </c>
      <c r="T219" s="76">
        <v>1936.8993351925483</v>
      </c>
      <c r="U219" s="76">
        <v>1955.3449646924739</v>
      </c>
      <c r="V219" s="76">
        <v>1974.0956641834225</v>
      </c>
    </row>
    <row r="220" spans="1:22" x14ac:dyDescent="0.3">
      <c r="A220" s="3" t="str">
        <f>INDEX(Mapping!$Y:$Y,MATCH($C220,Mapping!$W:$W,0))</f>
        <v>Metro</v>
      </c>
      <c r="B220" s="3" t="str">
        <f>INDEX(Mapping!$V:$V,MATCH(C220,Mapping!$W:$W,0))</f>
        <v>NEV</v>
      </c>
      <c r="C220" t="s">
        <v>116</v>
      </c>
      <c r="D220">
        <v>2</v>
      </c>
      <c r="E220" s="20"/>
      <c r="F220" s="76">
        <v>1633.4186563020544</v>
      </c>
      <c r="G220" s="76">
        <v>1660.9883398112158</v>
      </c>
      <c r="H220" s="76">
        <v>1677.4961132704052</v>
      </c>
      <c r="I220" s="76">
        <v>1604.5218397186748</v>
      </c>
      <c r="J220" s="76">
        <v>1591.7513418471219</v>
      </c>
      <c r="K220" s="76">
        <v>1763.1724704355795</v>
      </c>
      <c r="L220" s="76">
        <v>1779.7196417040855</v>
      </c>
      <c r="M220" s="76">
        <v>1797.5986849748074</v>
      </c>
      <c r="N220" s="76">
        <v>1814.8208357802553</v>
      </c>
      <c r="O220" s="76">
        <v>1832.4105589641549</v>
      </c>
      <c r="P220" s="76">
        <v>1849.7475965800454</v>
      </c>
      <c r="Q220" s="76">
        <v>1867.3072790345875</v>
      </c>
      <c r="R220" s="76">
        <v>1884.0585518683974</v>
      </c>
      <c r="S220" s="76">
        <v>1901.1041153047806</v>
      </c>
      <c r="T220" s="76">
        <v>1918.7461069794397</v>
      </c>
      <c r="U220" s="76">
        <v>1936.8993351925483</v>
      </c>
      <c r="V220" s="76">
        <v>1955.3449646924739</v>
      </c>
    </row>
    <row r="221" spans="1:22" x14ac:dyDescent="0.3">
      <c r="A221" s="3" t="str">
        <f>INDEX(Mapping!$Y:$Y,MATCH($C221,Mapping!$W:$W,0))</f>
        <v>Metro</v>
      </c>
      <c r="B221" s="3" t="str">
        <f>INDEX(Mapping!$V:$V,MATCH(C221,Mapping!$W:$W,0))</f>
        <v>NEV</v>
      </c>
      <c r="C221" t="s">
        <v>116</v>
      </c>
      <c r="D221">
        <v>3</v>
      </c>
      <c r="E221" s="20"/>
      <c r="F221" s="76">
        <v>1625.4247640199887</v>
      </c>
      <c r="G221" s="76">
        <v>1652.8595224875069</v>
      </c>
      <c r="H221" s="76">
        <v>1669.2865074958356</v>
      </c>
      <c r="I221" s="76">
        <v>1677.4961132704052</v>
      </c>
      <c r="J221" s="76">
        <v>1604.5218397186748</v>
      </c>
      <c r="K221" s="76">
        <v>1591.7513418471219</v>
      </c>
      <c r="L221" s="76">
        <v>1763.1724704355795</v>
      </c>
      <c r="M221" s="76">
        <v>1779.7196417040855</v>
      </c>
      <c r="N221" s="76">
        <v>1797.5986849748074</v>
      </c>
      <c r="O221" s="76">
        <v>1814.8208357802553</v>
      </c>
      <c r="P221" s="76">
        <v>1832.4105589641549</v>
      </c>
      <c r="Q221" s="76">
        <v>1849.7475965800454</v>
      </c>
      <c r="R221" s="76">
        <v>1867.3072790345875</v>
      </c>
      <c r="S221" s="76">
        <v>1884.0585518683974</v>
      </c>
      <c r="T221" s="76">
        <v>1901.1041153047806</v>
      </c>
      <c r="U221" s="76">
        <v>1918.7461069794397</v>
      </c>
      <c r="V221" s="76">
        <v>1936.8993351925483</v>
      </c>
    </row>
    <row r="222" spans="1:22" x14ac:dyDescent="0.3">
      <c r="A222" s="3" t="str">
        <f>INDEX(Mapping!$Y:$Y,MATCH($C222,Mapping!$W:$W,0))</f>
        <v>Metro</v>
      </c>
      <c r="B222" s="3" t="str">
        <f>INDEX(Mapping!$V:$V,MATCH(C222,Mapping!$W:$W,0))</f>
        <v>NEV</v>
      </c>
      <c r="C222" t="s">
        <v>116</v>
      </c>
      <c r="D222">
        <v>4</v>
      </c>
      <c r="E222" s="20"/>
      <c r="F222" s="76">
        <v>1630.7540255413658</v>
      </c>
      <c r="G222" s="76">
        <v>1658.2787340366463</v>
      </c>
      <c r="H222" s="76">
        <v>1674.7595780122153</v>
      </c>
      <c r="I222" s="76">
        <v>1669.2865074958356</v>
      </c>
      <c r="J222" s="76">
        <v>1677.4961132704052</v>
      </c>
      <c r="K222" s="76">
        <v>1604.5218397186748</v>
      </c>
      <c r="L222" s="76">
        <v>1591.7513418471219</v>
      </c>
      <c r="M222" s="76">
        <v>1763.1724704355795</v>
      </c>
      <c r="N222" s="76">
        <v>1779.7196417040855</v>
      </c>
      <c r="O222" s="76">
        <v>1797.5986849748074</v>
      </c>
      <c r="P222" s="76">
        <v>1814.8208357802553</v>
      </c>
      <c r="Q222" s="76">
        <v>1832.4105589641549</v>
      </c>
      <c r="R222" s="76">
        <v>1849.7475965800454</v>
      </c>
      <c r="S222" s="76">
        <v>1867.3072790345875</v>
      </c>
      <c r="T222" s="76">
        <v>1884.0585518683974</v>
      </c>
      <c r="U222" s="76">
        <v>1901.1041153047806</v>
      </c>
      <c r="V222" s="76">
        <v>1918.7461069794397</v>
      </c>
    </row>
    <row r="223" spans="1:22" x14ac:dyDescent="0.3">
      <c r="A223" s="3" t="str">
        <f>INDEX(Mapping!$Y:$Y,MATCH($C223,Mapping!$W:$W,0))</f>
        <v>Metro</v>
      </c>
      <c r="B223" s="3" t="str">
        <f>INDEX(Mapping!$V:$V,MATCH(C223,Mapping!$W:$W,0))</f>
        <v>NEV</v>
      </c>
      <c r="C223" t="s">
        <v>116</v>
      </c>
      <c r="D223">
        <v>5</v>
      </c>
      <c r="E223" s="20"/>
      <c r="F223" s="76">
        <v>1567.3445308162131</v>
      </c>
      <c r="G223" s="76">
        <v>1591.457523598001</v>
      </c>
      <c r="H223" s="76">
        <v>1614.739033870072</v>
      </c>
      <c r="I223" s="76">
        <v>1674.7595780122153</v>
      </c>
      <c r="J223" s="76">
        <v>1669.2865074958356</v>
      </c>
      <c r="K223" s="76">
        <v>1677.4961132704052</v>
      </c>
      <c r="L223" s="76">
        <v>1604.5218397186748</v>
      </c>
      <c r="M223" s="76">
        <v>1591.7513418471219</v>
      </c>
      <c r="N223" s="76">
        <v>1763.1724704355795</v>
      </c>
      <c r="O223" s="76">
        <v>1779.7196417040855</v>
      </c>
      <c r="P223" s="76">
        <v>1797.5986849748074</v>
      </c>
      <c r="Q223" s="76">
        <v>1814.8208357802553</v>
      </c>
      <c r="R223" s="76">
        <v>1832.4105589641549</v>
      </c>
      <c r="S223" s="76">
        <v>1849.7475965800454</v>
      </c>
      <c r="T223" s="76">
        <v>1867.3072790345875</v>
      </c>
      <c r="U223" s="76">
        <v>1884.0585518683974</v>
      </c>
      <c r="V223" s="76">
        <v>1901.1041153047806</v>
      </c>
    </row>
    <row r="224" spans="1:22" x14ac:dyDescent="0.3">
      <c r="A224" s="3" t="str">
        <f>INDEX(Mapping!$Y:$Y,MATCH($C224,Mapping!$W:$W,0))</f>
        <v>Rural</v>
      </c>
      <c r="B224" s="3" t="str">
        <f>INDEX(Mapping!$V:$V,MATCH(C224,Mapping!$W:$W,0))</f>
        <v>SEV</v>
      </c>
      <c r="C224" t="s">
        <v>157</v>
      </c>
      <c r="D224">
        <v>0</v>
      </c>
      <c r="E224" s="20"/>
      <c r="F224" s="76">
        <v>756.22255866767603</v>
      </c>
      <c r="G224" s="76">
        <v>740.00757002271007</v>
      </c>
      <c r="H224" s="76">
        <v>745.73050719152161</v>
      </c>
      <c r="I224" s="76">
        <v>836.16555203958251</v>
      </c>
      <c r="J224" s="76">
        <v>839.35875847225998</v>
      </c>
      <c r="K224" s="76">
        <v>843.0960072362509</v>
      </c>
      <c r="L224" s="76">
        <v>847.65194761858231</v>
      </c>
      <c r="M224" s="76">
        <v>852.51160729042988</v>
      </c>
      <c r="N224" s="76">
        <v>858.06977082098012</v>
      </c>
      <c r="O224" s="76">
        <v>864.34023871459749</v>
      </c>
      <c r="P224" s="76">
        <v>871.11182818462214</v>
      </c>
      <c r="Q224" s="76">
        <v>878.57494871875781</v>
      </c>
      <c r="R224" s="76">
        <v>886.39307597719744</v>
      </c>
      <c r="S224" s="76">
        <v>894.1878080427324</v>
      </c>
      <c r="T224" s="76">
        <v>901.98313177125874</v>
      </c>
      <c r="U224" s="76">
        <v>909.75547662137467</v>
      </c>
      <c r="V224" s="76">
        <v>917.51712223565312</v>
      </c>
    </row>
    <row r="225" spans="1:22" x14ac:dyDescent="0.3">
      <c r="A225" s="3" t="str">
        <f>INDEX(Mapping!$Y:$Y,MATCH($C225,Mapping!$W:$W,0))</f>
        <v>Rural</v>
      </c>
      <c r="B225" s="3" t="str">
        <f>INDEX(Mapping!$V:$V,MATCH(C225,Mapping!$W:$W,0))</f>
        <v>SEV</v>
      </c>
      <c r="C225" t="s">
        <v>157</v>
      </c>
      <c r="D225">
        <v>1</v>
      </c>
      <c r="E225" s="20"/>
      <c r="F225" s="76">
        <v>759.82361847085542</v>
      </c>
      <c r="G225" s="76">
        <v>743.53141559424671</v>
      </c>
      <c r="H225" s="76">
        <v>749.28160484481452</v>
      </c>
      <c r="I225" s="76">
        <v>745.73050719152161</v>
      </c>
      <c r="J225" s="76">
        <v>836.16555203958251</v>
      </c>
      <c r="K225" s="76">
        <v>839.35875847225998</v>
      </c>
      <c r="L225" s="76">
        <v>843.0960072362509</v>
      </c>
      <c r="M225" s="76">
        <v>847.65194761858231</v>
      </c>
      <c r="N225" s="76">
        <v>852.51160729042988</v>
      </c>
      <c r="O225" s="76">
        <v>858.06977082098012</v>
      </c>
      <c r="P225" s="76">
        <v>864.34023871459749</v>
      </c>
      <c r="Q225" s="76">
        <v>871.11182818462214</v>
      </c>
      <c r="R225" s="76">
        <v>878.57494871875781</v>
      </c>
      <c r="S225" s="76">
        <v>886.39307597719744</v>
      </c>
      <c r="T225" s="76">
        <v>894.1878080427324</v>
      </c>
      <c r="U225" s="76">
        <v>901.98313177125874</v>
      </c>
      <c r="V225" s="76">
        <v>909.75547662137467</v>
      </c>
    </row>
    <row r="226" spans="1:22" x14ac:dyDescent="0.3">
      <c r="A226" s="3" t="str">
        <f>INDEX(Mapping!$Y:$Y,MATCH($C226,Mapping!$W:$W,0))</f>
        <v>Rural</v>
      </c>
      <c r="B226" s="3" t="str">
        <f>INDEX(Mapping!$V:$V,MATCH(C226,Mapping!$W:$W,0))</f>
        <v>SEV</v>
      </c>
      <c r="C226" t="s">
        <v>157</v>
      </c>
      <c r="D226">
        <v>2</v>
      </c>
      <c r="E226" s="20"/>
      <c r="F226" s="76">
        <v>798.53501135503404</v>
      </c>
      <c r="G226" s="76">
        <v>781.4127554882665</v>
      </c>
      <c r="H226" s="76">
        <v>787.45590461771394</v>
      </c>
      <c r="I226" s="76">
        <v>749.28160484481452</v>
      </c>
      <c r="J226" s="76">
        <v>745.73050719152161</v>
      </c>
      <c r="K226" s="76">
        <v>836.16555203958251</v>
      </c>
      <c r="L226" s="76">
        <v>839.35875847225998</v>
      </c>
      <c r="M226" s="76">
        <v>843.0960072362509</v>
      </c>
      <c r="N226" s="76">
        <v>847.65194761858231</v>
      </c>
      <c r="O226" s="76">
        <v>852.51160729042988</v>
      </c>
      <c r="P226" s="76">
        <v>858.06977082098012</v>
      </c>
      <c r="Q226" s="76">
        <v>864.34023871459749</v>
      </c>
      <c r="R226" s="76">
        <v>871.11182818462214</v>
      </c>
      <c r="S226" s="76">
        <v>878.57494871875781</v>
      </c>
      <c r="T226" s="76">
        <v>886.39307597719744</v>
      </c>
      <c r="U226" s="76">
        <v>894.1878080427324</v>
      </c>
      <c r="V226" s="76">
        <v>901.98313177125874</v>
      </c>
    </row>
    <row r="227" spans="1:22" x14ac:dyDescent="0.3">
      <c r="A227" s="3" t="str">
        <f>INDEX(Mapping!$Y:$Y,MATCH($C227,Mapping!$W:$W,0))</f>
        <v>Rural</v>
      </c>
      <c r="B227" s="3" t="str">
        <f>INDEX(Mapping!$V:$V,MATCH(C227,Mapping!$W:$W,0))</f>
        <v>SEV</v>
      </c>
      <c r="C227" t="s">
        <v>157</v>
      </c>
      <c r="D227">
        <v>3</v>
      </c>
      <c r="E227" s="20"/>
      <c r="F227" s="76">
        <v>837.24640423921267</v>
      </c>
      <c r="G227" s="76">
        <v>819.29409538228606</v>
      </c>
      <c r="H227" s="76">
        <v>825.63020439061313</v>
      </c>
      <c r="I227" s="76">
        <v>787.45590461771394</v>
      </c>
      <c r="J227" s="76">
        <v>749.28160484481452</v>
      </c>
      <c r="K227" s="76">
        <v>745.73050719152161</v>
      </c>
      <c r="L227" s="76">
        <v>836.16555203958251</v>
      </c>
      <c r="M227" s="76">
        <v>839.35875847225998</v>
      </c>
      <c r="N227" s="76">
        <v>843.0960072362509</v>
      </c>
      <c r="O227" s="76">
        <v>847.65194761858231</v>
      </c>
      <c r="P227" s="76">
        <v>852.51160729042988</v>
      </c>
      <c r="Q227" s="76">
        <v>858.06977082098012</v>
      </c>
      <c r="R227" s="76">
        <v>864.34023871459749</v>
      </c>
      <c r="S227" s="76">
        <v>871.11182818462214</v>
      </c>
      <c r="T227" s="76">
        <v>878.57494871875781</v>
      </c>
      <c r="U227" s="76">
        <v>886.39307597719744</v>
      </c>
      <c r="V227" s="76">
        <v>894.1878080427324</v>
      </c>
    </row>
    <row r="228" spans="1:22" x14ac:dyDescent="0.3">
      <c r="A228" s="3" t="str">
        <f>INDEX(Mapping!$Y:$Y,MATCH($C228,Mapping!$W:$W,0))</f>
        <v>Rural</v>
      </c>
      <c r="B228" s="3" t="str">
        <f>INDEX(Mapping!$V:$V,MATCH(C228,Mapping!$W:$W,0))</f>
        <v>SEV</v>
      </c>
      <c r="C228" t="s">
        <v>157</v>
      </c>
      <c r="D228">
        <v>4</v>
      </c>
      <c r="E228" s="20"/>
      <c r="F228" s="76">
        <v>774.22785768357301</v>
      </c>
      <c r="G228" s="76">
        <v>757.62679788039361</v>
      </c>
      <c r="H228" s="76">
        <v>763.48599545798641</v>
      </c>
      <c r="I228" s="76">
        <v>825.63020439061313</v>
      </c>
      <c r="J228" s="76">
        <v>787.45590461771394</v>
      </c>
      <c r="K228" s="76">
        <v>749.28160484481452</v>
      </c>
      <c r="L228" s="76">
        <v>745.73050719152161</v>
      </c>
      <c r="M228" s="76">
        <v>836.16555203958251</v>
      </c>
      <c r="N228" s="76">
        <v>839.35875847225998</v>
      </c>
      <c r="O228" s="76">
        <v>843.0960072362509</v>
      </c>
      <c r="P228" s="76">
        <v>847.65194761858231</v>
      </c>
      <c r="Q228" s="76">
        <v>852.51160729042988</v>
      </c>
      <c r="R228" s="76">
        <v>858.06977082098012</v>
      </c>
      <c r="S228" s="76">
        <v>864.34023871459749</v>
      </c>
      <c r="T228" s="76">
        <v>871.11182818462214</v>
      </c>
      <c r="U228" s="76">
        <v>878.57494871875781</v>
      </c>
      <c r="V228" s="76">
        <v>886.39307597719744</v>
      </c>
    </row>
    <row r="229" spans="1:22" x14ac:dyDescent="0.3">
      <c r="A229" s="3" t="str">
        <f>INDEX(Mapping!$Y:$Y,MATCH($C229,Mapping!$W:$W,0))</f>
        <v>Rural</v>
      </c>
      <c r="B229" s="3" t="str">
        <f>INDEX(Mapping!$V:$V,MATCH(C229,Mapping!$W:$W,0))</f>
        <v>SEV</v>
      </c>
      <c r="C229" t="s">
        <v>157</v>
      </c>
      <c r="D229">
        <v>5</v>
      </c>
      <c r="E229" s="20"/>
      <c r="F229" s="76">
        <v>821.68660105980325</v>
      </c>
      <c r="G229" s="76">
        <v>830.59519303557909</v>
      </c>
      <c r="H229" s="76">
        <v>806.83894776684338</v>
      </c>
      <c r="I229" s="76">
        <v>763.48599545798641</v>
      </c>
      <c r="J229" s="76">
        <v>825.63020439061313</v>
      </c>
      <c r="K229" s="76">
        <v>787.45590461771394</v>
      </c>
      <c r="L229" s="76">
        <v>749.28160484481452</v>
      </c>
      <c r="M229" s="76">
        <v>745.73050719152161</v>
      </c>
      <c r="N229" s="76">
        <v>836.16555203958251</v>
      </c>
      <c r="O229" s="76">
        <v>839.35875847225998</v>
      </c>
      <c r="P229" s="76">
        <v>843.0960072362509</v>
      </c>
      <c r="Q229" s="76">
        <v>847.65194761858231</v>
      </c>
      <c r="R229" s="76">
        <v>852.51160729042988</v>
      </c>
      <c r="S229" s="76">
        <v>858.06977082098012</v>
      </c>
      <c r="T229" s="76">
        <v>864.34023871459749</v>
      </c>
      <c r="U229" s="76">
        <v>871.11182818462214</v>
      </c>
      <c r="V229" s="76">
        <v>878.57494871875781</v>
      </c>
    </row>
    <row r="230" spans="1:22" x14ac:dyDescent="0.3">
      <c r="A230" s="3" t="str">
        <f>INDEX(Mapping!$Y:$Y,MATCH($C230,Mapping!$W:$W,0))</f>
        <v>Rural</v>
      </c>
      <c r="B230" s="3" t="str">
        <f>INDEX(Mapping!$V:$V,MATCH(C230,Mapping!$W:$W,0))</f>
        <v>NWV</v>
      </c>
      <c r="C230" t="s">
        <v>138</v>
      </c>
      <c r="D230">
        <v>0</v>
      </c>
      <c r="E230" s="20"/>
      <c r="F230" s="76">
        <v>54.176904176904181</v>
      </c>
      <c r="G230" s="76">
        <v>55.105651105651106</v>
      </c>
      <c r="H230" s="76">
        <v>54.486486486486484</v>
      </c>
      <c r="I230" s="76">
        <v>58.109768870330008</v>
      </c>
      <c r="J230" s="76">
        <v>57.782832956238707</v>
      </c>
      <c r="K230" s="76">
        <v>57.416960127058566</v>
      </c>
      <c r="L230" s="76">
        <v>57.066673147336871</v>
      </c>
      <c r="M230" s="76">
        <v>56.70362474094172</v>
      </c>
      <c r="N230" s="76">
        <v>56.365180143103622</v>
      </c>
      <c r="O230" s="76">
        <v>56.046818835876088</v>
      </c>
      <c r="P230" s="76">
        <v>55.742119562329854</v>
      </c>
      <c r="Q230" s="76">
        <v>55.446392250101731</v>
      </c>
      <c r="R230" s="76">
        <v>55.186758332522416</v>
      </c>
      <c r="S230" s="76">
        <v>54.936026740486398</v>
      </c>
      <c r="T230" s="76">
        <v>54.685201939442976</v>
      </c>
      <c r="U230" s="76">
        <v>54.441937641248366</v>
      </c>
      <c r="V230" s="76">
        <v>54.201657854379043</v>
      </c>
    </row>
    <row r="231" spans="1:22" x14ac:dyDescent="0.3">
      <c r="A231" s="3" t="str">
        <f>INDEX(Mapping!$Y:$Y,MATCH($C231,Mapping!$W:$W,0))</f>
        <v>Rural</v>
      </c>
      <c r="B231" s="3" t="str">
        <f>INDEX(Mapping!$V:$V,MATCH(C231,Mapping!$W:$W,0))</f>
        <v>NWV</v>
      </c>
      <c r="C231" t="s">
        <v>138</v>
      </c>
      <c r="D231">
        <v>1</v>
      </c>
      <c r="E231" s="20"/>
      <c r="F231" s="76">
        <v>59.336609336609335</v>
      </c>
      <c r="G231" s="76">
        <v>60.353808353808347</v>
      </c>
      <c r="H231" s="76">
        <v>59.67567567567567</v>
      </c>
      <c r="I231" s="76">
        <v>54.486486486486484</v>
      </c>
      <c r="J231" s="76">
        <v>58.109768870330008</v>
      </c>
      <c r="K231" s="76">
        <v>57.782832956238707</v>
      </c>
      <c r="L231" s="76">
        <v>57.416960127058566</v>
      </c>
      <c r="M231" s="76">
        <v>57.066673147336871</v>
      </c>
      <c r="N231" s="76">
        <v>56.70362474094172</v>
      </c>
      <c r="O231" s="76">
        <v>56.365180143103622</v>
      </c>
      <c r="P231" s="76">
        <v>56.046818835876088</v>
      </c>
      <c r="Q231" s="76">
        <v>55.742119562329854</v>
      </c>
      <c r="R231" s="76">
        <v>55.446392250101731</v>
      </c>
      <c r="S231" s="76">
        <v>55.186758332522416</v>
      </c>
      <c r="T231" s="76">
        <v>54.936026740486398</v>
      </c>
      <c r="U231" s="76">
        <v>54.685201939442976</v>
      </c>
      <c r="V231" s="76">
        <v>54.441937641248366</v>
      </c>
    </row>
    <row r="232" spans="1:22" x14ac:dyDescent="0.3">
      <c r="A232" s="3" t="str">
        <f>INDEX(Mapping!$Y:$Y,MATCH($C232,Mapping!$W:$W,0))</f>
        <v>Rural</v>
      </c>
      <c r="B232" s="3" t="str">
        <f>INDEX(Mapping!$V:$V,MATCH(C232,Mapping!$W:$W,0))</f>
        <v>NWV</v>
      </c>
      <c r="C232" t="s">
        <v>138</v>
      </c>
      <c r="D232">
        <v>2</v>
      </c>
      <c r="E232" s="20"/>
      <c r="F232" s="76">
        <v>52.457002457002453</v>
      </c>
      <c r="G232" s="76">
        <v>53.356265356265354</v>
      </c>
      <c r="H232" s="76">
        <v>52.756756756756751</v>
      </c>
      <c r="I232" s="76">
        <v>59.67567567567567</v>
      </c>
      <c r="J232" s="76">
        <v>54.486486486486484</v>
      </c>
      <c r="K232" s="76">
        <v>58.109768870330008</v>
      </c>
      <c r="L232" s="76">
        <v>57.782832956238707</v>
      </c>
      <c r="M232" s="76">
        <v>57.416960127058566</v>
      </c>
      <c r="N232" s="76">
        <v>57.066673147336871</v>
      </c>
      <c r="O232" s="76">
        <v>56.70362474094172</v>
      </c>
      <c r="P232" s="76">
        <v>56.365180143103622</v>
      </c>
      <c r="Q232" s="76">
        <v>56.046818835876088</v>
      </c>
      <c r="R232" s="76">
        <v>55.742119562329854</v>
      </c>
      <c r="S232" s="76">
        <v>55.446392250101731</v>
      </c>
      <c r="T232" s="76">
        <v>55.186758332522416</v>
      </c>
      <c r="U232" s="76">
        <v>54.936026740486398</v>
      </c>
      <c r="V232" s="76">
        <v>54.685201939442976</v>
      </c>
    </row>
    <row r="233" spans="1:22" x14ac:dyDescent="0.3">
      <c r="A233" s="3" t="str">
        <f>INDEX(Mapping!$Y:$Y,MATCH($C233,Mapping!$W:$W,0))</f>
        <v>Rural</v>
      </c>
      <c r="B233" s="3" t="str">
        <f>INDEX(Mapping!$V:$V,MATCH(C233,Mapping!$W:$W,0))</f>
        <v>NWV</v>
      </c>
      <c r="C233" t="s">
        <v>138</v>
      </c>
      <c r="D233">
        <v>3</v>
      </c>
      <c r="E233" s="20"/>
      <c r="F233" s="76">
        <v>70.515970515970523</v>
      </c>
      <c r="G233" s="76">
        <v>71.724815724815727</v>
      </c>
      <c r="H233" s="76">
        <v>70.918918918918919</v>
      </c>
      <c r="I233" s="76">
        <v>52.756756756756751</v>
      </c>
      <c r="J233" s="76">
        <v>59.67567567567567</v>
      </c>
      <c r="K233" s="76">
        <v>54.486486486486484</v>
      </c>
      <c r="L233" s="76">
        <v>58.109768870330008</v>
      </c>
      <c r="M233" s="76">
        <v>57.782832956238707</v>
      </c>
      <c r="N233" s="76">
        <v>57.416960127058566</v>
      </c>
      <c r="O233" s="76">
        <v>57.066673147336871</v>
      </c>
      <c r="P233" s="76">
        <v>56.70362474094172</v>
      </c>
      <c r="Q233" s="76">
        <v>56.365180143103622</v>
      </c>
      <c r="R233" s="76">
        <v>56.046818835876088</v>
      </c>
      <c r="S233" s="76">
        <v>55.742119562329854</v>
      </c>
      <c r="T233" s="76">
        <v>55.446392250101731</v>
      </c>
      <c r="U233" s="76">
        <v>55.186758332522416</v>
      </c>
      <c r="V233" s="76">
        <v>54.936026740486398</v>
      </c>
    </row>
    <row r="234" spans="1:22" x14ac:dyDescent="0.3">
      <c r="A234" s="3" t="str">
        <f>INDEX(Mapping!$Y:$Y,MATCH($C234,Mapping!$W:$W,0))</f>
        <v>Rural</v>
      </c>
      <c r="B234" s="3" t="str">
        <f>INDEX(Mapping!$V:$V,MATCH(C234,Mapping!$W:$W,0))</f>
        <v>NWV</v>
      </c>
      <c r="C234" t="s">
        <v>138</v>
      </c>
      <c r="D234">
        <v>4</v>
      </c>
      <c r="E234" s="20"/>
      <c r="F234" s="76">
        <v>58.476658476658471</v>
      </c>
      <c r="G234" s="76">
        <v>59.479115479115478</v>
      </c>
      <c r="H234" s="76">
        <v>58.810810810810807</v>
      </c>
      <c r="I234" s="76">
        <v>70.918918918918919</v>
      </c>
      <c r="J234" s="76">
        <v>52.756756756756751</v>
      </c>
      <c r="K234" s="76">
        <v>59.67567567567567</v>
      </c>
      <c r="L234" s="76">
        <v>54.486486486486484</v>
      </c>
      <c r="M234" s="76">
        <v>58.109768870330008</v>
      </c>
      <c r="N234" s="76">
        <v>57.782832956238707</v>
      </c>
      <c r="O234" s="76">
        <v>57.416960127058566</v>
      </c>
      <c r="P234" s="76">
        <v>57.066673147336871</v>
      </c>
      <c r="Q234" s="76">
        <v>56.70362474094172</v>
      </c>
      <c r="R234" s="76">
        <v>56.365180143103622</v>
      </c>
      <c r="S234" s="76">
        <v>56.046818835876088</v>
      </c>
      <c r="T234" s="76">
        <v>55.742119562329854</v>
      </c>
      <c r="U234" s="76">
        <v>55.446392250101731</v>
      </c>
      <c r="V234" s="76">
        <v>55.186758332522416</v>
      </c>
    </row>
    <row r="235" spans="1:22" x14ac:dyDescent="0.3">
      <c r="A235" s="3" t="str">
        <f>INDEX(Mapping!$Y:$Y,MATCH($C235,Mapping!$W:$W,0))</f>
        <v>Rural</v>
      </c>
      <c r="B235" s="3" t="str">
        <f>INDEX(Mapping!$V:$V,MATCH(C235,Mapping!$W:$W,0))</f>
        <v>NWV</v>
      </c>
      <c r="C235" t="s">
        <v>138</v>
      </c>
      <c r="D235">
        <v>5</v>
      </c>
      <c r="E235" s="20"/>
      <c r="F235" s="76">
        <v>66.98771498771498</v>
      </c>
      <c r="G235" s="76">
        <v>65.415233415233416</v>
      </c>
      <c r="H235" s="76">
        <v>63.213759213759211</v>
      </c>
      <c r="I235" s="76">
        <v>58.810810810810807</v>
      </c>
      <c r="J235" s="76">
        <v>70.918918918918919</v>
      </c>
      <c r="K235" s="76">
        <v>52.756756756756751</v>
      </c>
      <c r="L235" s="76">
        <v>59.67567567567567</v>
      </c>
      <c r="M235" s="76">
        <v>54.486486486486484</v>
      </c>
      <c r="N235" s="76">
        <v>58.109768870330008</v>
      </c>
      <c r="O235" s="76">
        <v>57.782832956238707</v>
      </c>
      <c r="P235" s="76">
        <v>57.416960127058566</v>
      </c>
      <c r="Q235" s="76">
        <v>57.066673147336871</v>
      </c>
      <c r="R235" s="76">
        <v>56.70362474094172</v>
      </c>
      <c r="S235" s="76">
        <v>56.365180143103622</v>
      </c>
      <c r="T235" s="76">
        <v>56.046818835876088</v>
      </c>
      <c r="U235" s="76">
        <v>55.742119562329854</v>
      </c>
      <c r="V235" s="76">
        <v>55.446392250101731</v>
      </c>
    </row>
    <row r="236" spans="1:22" x14ac:dyDescent="0.3">
      <c r="A236" s="3" t="str">
        <f>INDEX(Mapping!$Y:$Y,MATCH($C236,Mapping!$W:$W,0))</f>
        <v>Rural</v>
      </c>
      <c r="B236" s="3" t="str">
        <f>INDEX(Mapping!$V:$V,MATCH(C236,Mapping!$W:$W,0))</f>
        <v>NWV</v>
      </c>
      <c r="C236" t="s">
        <v>139</v>
      </c>
      <c r="D236">
        <v>0</v>
      </c>
      <c r="E236" s="20"/>
      <c r="F236" s="76">
        <v>460.67364845740167</v>
      </c>
      <c r="G236" s="76">
        <v>482.53042739881124</v>
      </c>
      <c r="H236" s="76">
        <v>486.65723181432213</v>
      </c>
      <c r="I236" s="76">
        <v>535.71851868159001</v>
      </c>
      <c r="J236" s="76">
        <v>543.70177638844484</v>
      </c>
      <c r="K236" s="76">
        <v>551.94475451940616</v>
      </c>
      <c r="L236" s="76">
        <v>560.26466964127087</v>
      </c>
      <c r="M236" s="76">
        <v>568.83381179830144</v>
      </c>
      <c r="N236" s="76">
        <v>577.61971458172854</v>
      </c>
      <c r="O236" s="76">
        <v>586.50755217315498</v>
      </c>
      <c r="P236" s="76">
        <v>595.26471526092496</v>
      </c>
      <c r="Q236" s="76">
        <v>603.98748261577759</v>
      </c>
      <c r="R236" s="76">
        <v>612.912763360496</v>
      </c>
      <c r="S236" s="76">
        <v>621.96259884134838</v>
      </c>
      <c r="T236" s="76">
        <v>631.04546129700611</v>
      </c>
      <c r="U236" s="76">
        <v>640.19872516838643</v>
      </c>
      <c r="V236" s="76">
        <v>649.36071988552567</v>
      </c>
    </row>
    <row r="237" spans="1:22" x14ac:dyDescent="0.3">
      <c r="A237" s="3" t="str">
        <f>INDEX(Mapping!$Y:$Y,MATCH($C237,Mapping!$W:$W,0))</f>
        <v>Rural</v>
      </c>
      <c r="B237" s="3" t="str">
        <f>INDEX(Mapping!$V:$V,MATCH(C237,Mapping!$W:$W,0))</f>
        <v>NWV</v>
      </c>
      <c r="C237" t="s">
        <v>139</v>
      </c>
      <c r="D237">
        <v>1</v>
      </c>
      <c r="E237" s="20"/>
      <c r="F237" s="76">
        <v>433.37446928955563</v>
      </c>
      <c r="G237" s="76">
        <v>453.93603170110384</v>
      </c>
      <c r="H237" s="76">
        <v>457.81828474384378</v>
      </c>
      <c r="I237" s="76">
        <v>486.65723181432213</v>
      </c>
      <c r="J237" s="76">
        <v>535.71851868159001</v>
      </c>
      <c r="K237" s="76">
        <v>543.70177638844484</v>
      </c>
      <c r="L237" s="76">
        <v>551.94475451940616</v>
      </c>
      <c r="M237" s="76">
        <v>560.26466964127087</v>
      </c>
      <c r="N237" s="76">
        <v>568.83381179830144</v>
      </c>
      <c r="O237" s="76">
        <v>577.61971458172854</v>
      </c>
      <c r="P237" s="76">
        <v>586.50755217315498</v>
      </c>
      <c r="Q237" s="76">
        <v>595.26471526092496</v>
      </c>
      <c r="R237" s="76">
        <v>603.98748261577759</v>
      </c>
      <c r="S237" s="76">
        <v>612.912763360496</v>
      </c>
      <c r="T237" s="76">
        <v>621.96259884134838</v>
      </c>
      <c r="U237" s="76">
        <v>631.04546129700611</v>
      </c>
      <c r="V237" s="76">
        <v>640.19872516838643</v>
      </c>
    </row>
    <row r="238" spans="1:22" x14ac:dyDescent="0.3">
      <c r="A238" s="3" t="str">
        <f>INDEX(Mapping!$Y:$Y,MATCH($C238,Mapping!$W:$W,0))</f>
        <v>Rural</v>
      </c>
      <c r="B238" s="3" t="str">
        <f>INDEX(Mapping!$V:$V,MATCH(C238,Mapping!$W:$W,0))</f>
        <v>NWV</v>
      </c>
      <c r="C238" t="s">
        <v>139</v>
      </c>
      <c r="D238">
        <v>2</v>
      </c>
      <c r="E238" s="20"/>
      <c r="F238" s="76">
        <v>514.41890744409852</v>
      </c>
      <c r="G238" s="76">
        <v>538.82564392867243</v>
      </c>
      <c r="H238" s="76">
        <v>543.43390885932627</v>
      </c>
      <c r="I238" s="76">
        <v>457.81828474384378</v>
      </c>
      <c r="J238" s="76">
        <v>486.65723181432213</v>
      </c>
      <c r="K238" s="76">
        <v>535.71851868159001</v>
      </c>
      <c r="L238" s="76">
        <v>543.70177638844484</v>
      </c>
      <c r="M238" s="76">
        <v>551.94475451940616</v>
      </c>
      <c r="N238" s="76">
        <v>560.26466964127087</v>
      </c>
      <c r="O238" s="76">
        <v>568.83381179830144</v>
      </c>
      <c r="P238" s="76">
        <v>577.61971458172854</v>
      </c>
      <c r="Q238" s="76">
        <v>586.50755217315498</v>
      </c>
      <c r="R238" s="76">
        <v>595.26471526092496</v>
      </c>
      <c r="S238" s="76">
        <v>603.98748261577759</v>
      </c>
      <c r="T238" s="76">
        <v>612.912763360496</v>
      </c>
      <c r="U238" s="76">
        <v>621.96259884134838</v>
      </c>
      <c r="V238" s="76">
        <v>631.04546129700611</v>
      </c>
    </row>
    <row r="239" spans="1:22" x14ac:dyDescent="0.3">
      <c r="A239" s="3" t="str">
        <f>INDEX(Mapping!$Y:$Y,MATCH($C239,Mapping!$W:$W,0))</f>
        <v>Rural</v>
      </c>
      <c r="B239" s="3" t="str">
        <f>INDEX(Mapping!$V:$V,MATCH(C239,Mapping!$W:$W,0))</f>
        <v>NWV</v>
      </c>
      <c r="C239" t="s">
        <v>139</v>
      </c>
      <c r="D239">
        <v>3</v>
      </c>
      <c r="E239" s="20"/>
      <c r="F239" s="76">
        <v>486.26662892725727</v>
      </c>
      <c r="G239" s="76">
        <v>509.33767336541177</v>
      </c>
      <c r="H239" s="76">
        <v>513.69374469289551</v>
      </c>
      <c r="I239" s="76">
        <v>543.43390885932627</v>
      </c>
      <c r="J239" s="76">
        <v>457.81828474384378</v>
      </c>
      <c r="K239" s="76">
        <v>486.65723181432213</v>
      </c>
      <c r="L239" s="76">
        <v>535.71851868159001</v>
      </c>
      <c r="M239" s="76">
        <v>543.70177638844484</v>
      </c>
      <c r="N239" s="76">
        <v>551.94475451940616</v>
      </c>
      <c r="O239" s="76">
        <v>560.26466964127087</v>
      </c>
      <c r="P239" s="76">
        <v>568.83381179830144</v>
      </c>
      <c r="Q239" s="76">
        <v>577.61971458172854</v>
      </c>
      <c r="R239" s="76">
        <v>586.50755217315498</v>
      </c>
      <c r="S239" s="76">
        <v>595.26471526092496</v>
      </c>
      <c r="T239" s="76">
        <v>603.98748261577759</v>
      </c>
      <c r="U239" s="76">
        <v>612.912763360496</v>
      </c>
      <c r="V239" s="76">
        <v>621.96259884134838</v>
      </c>
    </row>
    <row r="240" spans="1:22" x14ac:dyDescent="0.3">
      <c r="A240" s="3" t="str">
        <f>INDEX(Mapping!$Y:$Y,MATCH($C240,Mapping!$W:$W,0))</f>
        <v>Rural</v>
      </c>
      <c r="B240" s="3" t="str">
        <f>INDEX(Mapping!$V:$V,MATCH(C240,Mapping!$W:$W,0))</f>
        <v>NWV</v>
      </c>
      <c r="C240" t="s">
        <v>139</v>
      </c>
      <c r="D240">
        <v>4</v>
      </c>
      <c r="E240" s="20"/>
      <c r="F240" s="76">
        <v>574.13586187376166</v>
      </c>
      <c r="G240" s="76">
        <v>601.37588451740726</v>
      </c>
      <c r="H240" s="76">
        <v>606.51910557599774</v>
      </c>
      <c r="I240" s="76">
        <v>513.69374469289551</v>
      </c>
      <c r="J240" s="76">
        <v>543.43390885932627</v>
      </c>
      <c r="K240" s="76">
        <v>457.81828474384378</v>
      </c>
      <c r="L240" s="76">
        <v>486.65723181432213</v>
      </c>
      <c r="M240" s="76">
        <v>535.71851868159001</v>
      </c>
      <c r="N240" s="76">
        <v>543.70177638844484</v>
      </c>
      <c r="O240" s="76">
        <v>551.94475451940616</v>
      </c>
      <c r="P240" s="76">
        <v>560.26466964127087</v>
      </c>
      <c r="Q240" s="76">
        <v>568.83381179830144</v>
      </c>
      <c r="R240" s="76">
        <v>577.61971458172854</v>
      </c>
      <c r="S240" s="76">
        <v>586.50755217315498</v>
      </c>
      <c r="T240" s="76">
        <v>595.26471526092496</v>
      </c>
      <c r="U240" s="76">
        <v>603.98748261577759</v>
      </c>
      <c r="V240" s="76">
        <v>612.912763360496</v>
      </c>
    </row>
    <row r="241" spans="1:22" x14ac:dyDescent="0.3">
      <c r="A241" s="3" t="str">
        <f>INDEX(Mapping!$Y:$Y,MATCH($C241,Mapping!$W:$W,0))</f>
        <v>Rural</v>
      </c>
      <c r="B241" s="3" t="str">
        <f>INDEX(Mapping!$V:$V,MATCH(C241,Mapping!$W:$W,0))</f>
        <v>NWV</v>
      </c>
      <c r="C241" t="s">
        <v>139</v>
      </c>
      <c r="D241">
        <v>5</v>
      </c>
      <c r="E241" s="20"/>
      <c r="F241" s="76">
        <v>604.81630342485141</v>
      </c>
      <c r="G241" s="76">
        <v>618.92386074157935</v>
      </c>
      <c r="H241" s="76">
        <v>651.11803000283044</v>
      </c>
      <c r="I241" s="76">
        <v>606.51910557599774</v>
      </c>
      <c r="J241" s="76">
        <v>513.69374469289551</v>
      </c>
      <c r="K241" s="76">
        <v>543.43390885932627</v>
      </c>
      <c r="L241" s="76">
        <v>457.81828474384378</v>
      </c>
      <c r="M241" s="76">
        <v>486.65723181432213</v>
      </c>
      <c r="N241" s="76">
        <v>535.71851868159001</v>
      </c>
      <c r="O241" s="76">
        <v>543.70177638844484</v>
      </c>
      <c r="P241" s="76">
        <v>551.94475451940616</v>
      </c>
      <c r="Q241" s="76">
        <v>560.26466964127087</v>
      </c>
      <c r="R241" s="76">
        <v>568.83381179830144</v>
      </c>
      <c r="S241" s="76">
        <v>577.61971458172854</v>
      </c>
      <c r="T241" s="76">
        <v>586.50755217315498</v>
      </c>
      <c r="U241" s="76">
        <v>595.26471526092496</v>
      </c>
      <c r="V241" s="76">
        <v>603.98748261577759</v>
      </c>
    </row>
    <row r="242" spans="1:22" x14ac:dyDescent="0.3">
      <c r="A242" s="3" t="str">
        <f>INDEX(Mapping!$Y:$Y,MATCH($C242,Mapping!$W:$W,0))</f>
        <v>Metro</v>
      </c>
      <c r="B242" s="3" t="str">
        <f>INDEX(Mapping!$V:$V,MATCH(C242,Mapping!$W:$W,0))</f>
        <v>NEV</v>
      </c>
      <c r="C242" t="s">
        <v>117</v>
      </c>
      <c r="D242">
        <v>0</v>
      </c>
      <c r="E242" s="20"/>
      <c r="F242" s="76">
        <v>842.43607705779334</v>
      </c>
      <c r="G242" s="76">
        <v>848.93870402802099</v>
      </c>
      <c r="H242" s="76">
        <v>877.99299474605948</v>
      </c>
      <c r="I242" s="76">
        <v>996.16484760342826</v>
      </c>
      <c r="J242" s="76">
        <v>1011.1226456250478</v>
      </c>
      <c r="K242" s="76">
        <v>1022.4778382143417</v>
      </c>
      <c r="L242" s="76">
        <v>1032.5947507073938</v>
      </c>
      <c r="M242" s="76">
        <v>1042.3992899112311</v>
      </c>
      <c r="N242" s="76">
        <v>1051.2733590956855</v>
      </c>
      <c r="O242" s="76">
        <v>1060.1626907694019</v>
      </c>
      <c r="P242" s="76">
        <v>1068.3608338006484</v>
      </c>
      <c r="Q242" s="76">
        <v>1076.2689287263122</v>
      </c>
      <c r="R242" s="76">
        <v>1084.1983313605986</v>
      </c>
      <c r="S242" s="76">
        <v>1092.4148703317517</v>
      </c>
      <c r="T242" s="76">
        <v>1100.7746146879699</v>
      </c>
      <c r="U242" s="76">
        <v>1109.2814456964886</v>
      </c>
      <c r="V242" s="76">
        <v>1118.0758174958637</v>
      </c>
    </row>
    <row r="243" spans="1:22" x14ac:dyDescent="0.3">
      <c r="A243" s="3" t="str">
        <f>INDEX(Mapping!$Y:$Y,MATCH($C243,Mapping!$W:$W,0))</f>
        <v>Metro</v>
      </c>
      <c r="B243" s="3" t="str">
        <f>INDEX(Mapping!$V:$V,MATCH(C243,Mapping!$W:$W,0))</f>
        <v>NEV</v>
      </c>
      <c r="C243" t="s">
        <v>117</v>
      </c>
      <c r="D243">
        <v>1</v>
      </c>
      <c r="E243" s="20"/>
      <c r="F243" s="76">
        <v>1025.4970811441915</v>
      </c>
      <c r="G243" s="76">
        <v>1033.4127262113252</v>
      </c>
      <c r="H243" s="76">
        <v>1068.780502043199</v>
      </c>
      <c r="I243" s="76">
        <v>877.99299474605948</v>
      </c>
      <c r="J243" s="76">
        <v>996.16484760342826</v>
      </c>
      <c r="K243" s="76">
        <v>1011.1226456250478</v>
      </c>
      <c r="L243" s="76">
        <v>1022.4778382143417</v>
      </c>
      <c r="M243" s="76">
        <v>1032.5947507073938</v>
      </c>
      <c r="N243" s="76">
        <v>1042.3992899112311</v>
      </c>
      <c r="O243" s="76">
        <v>1051.2733590956855</v>
      </c>
      <c r="P243" s="76">
        <v>1060.1626907694019</v>
      </c>
      <c r="Q243" s="76">
        <v>1068.3608338006484</v>
      </c>
      <c r="R243" s="76">
        <v>1076.2689287263122</v>
      </c>
      <c r="S243" s="76">
        <v>1084.1983313605986</v>
      </c>
      <c r="T243" s="76">
        <v>1092.4148703317517</v>
      </c>
      <c r="U243" s="76">
        <v>1100.7746146879699</v>
      </c>
      <c r="V243" s="76">
        <v>1109.2814456964886</v>
      </c>
    </row>
    <row r="244" spans="1:22" x14ac:dyDescent="0.3">
      <c r="A244" s="3" t="str">
        <f>INDEX(Mapping!$Y:$Y,MATCH($C244,Mapping!$W:$W,0))</f>
        <v>Metro</v>
      </c>
      <c r="B244" s="3" t="str">
        <f>INDEX(Mapping!$V:$V,MATCH(C244,Mapping!$W:$W,0))</f>
        <v>NEV</v>
      </c>
      <c r="C244" t="s">
        <v>117</v>
      </c>
      <c r="D244">
        <v>2</v>
      </c>
      <c r="E244" s="20"/>
      <c r="F244" s="76">
        <v>940.18709865732626</v>
      </c>
      <c r="G244" s="76">
        <v>947.44424985405715</v>
      </c>
      <c r="H244" s="76">
        <v>979.86981903093988</v>
      </c>
      <c r="I244" s="76">
        <v>1068.780502043199</v>
      </c>
      <c r="J244" s="76">
        <v>877.99299474605948</v>
      </c>
      <c r="K244" s="76">
        <v>996.16484760342826</v>
      </c>
      <c r="L244" s="76">
        <v>1011.1226456250478</v>
      </c>
      <c r="M244" s="76">
        <v>1022.4778382143417</v>
      </c>
      <c r="N244" s="76">
        <v>1032.5947507073938</v>
      </c>
      <c r="O244" s="76">
        <v>1042.3992899112311</v>
      </c>
      <c r="P244" s="76">
        <v>1051.2733590956855</v>
      </c>
      <c r="Q244" s="76">
        <v>1060.1626907694019</v>
      </c>
      <c r="R244" s="76">
        <v>1068.3608338006484</v>
      </c>
      <c r="S244" s="76">
        <v>1076.2689287263122</v>
      </c>
      <c r="T244" s="76">
        <v>1084.1983313605986</v>
      </c>
      <c r="U244" s="76">
        <v>1092.4148703317517</v>
      </c>
      <c r="V244" s="76">
        <v>1100.7746146879699</v>
      </c>
    </row>
    <row r="245" spans="1:22" x14ac:dyDescent="0.3">
      <c r="A245" s="3" t="str">
        <f>INDEX(Mapping!$Y:$Y,MATCH($C245,Mapping!$W:$W,0))</f>
        <v>Metro</v>
      </c>
      <c r="B245" s="3" t="str">
        <f>INDEX(Mapping!$V:$V,MATCH(C245,Mapping!$W:$W,0))</f>
        <v>NEV</v>
      </c>
      <c r="C245" t="s">
        <v>117</v>
      </c>
      <c r="D245">
        <v>3</v>
      </c>
      <c r="E245" s="20"/>
      <c r="F245" s="76">
        <v>1062.8201984821951</v>
      </c>
      <c r="G245" s="76">
        <v>1071.0239346176299</v>
      </c>
      <c r="H245" s="76">
        <v>1107.6789258610625</v>
      </c>
      <c r="I245" s="76">
        <v>979.86981903093988</v>
      </c>
      <c r="J245" s="76">
        <v>1068.780502043199</v>
      </c>
      <c r="K245" s="76">
        <v>877.99299474605948</v>
      </c>
      <c r="L245" s="76">
        <v>996.16484760342826</v>
      </c>
      <c r="M245" s="76">
        <v>1011.1226456250478</v>
      </c>
      <c r="N245" s="76">
        <v>1022.4778382143417</v>
      </c>
      <c r="O245" s="76">
        <v>1032.5947507073938</v>
      </c>
      <c r="P245" s="76">
        <v>1042.3992899112311</v>
      </c>
      <c r="Q245" s="76">
        <v>1051.2733590956855</v>
      </c>
      <c r="R245" s="76">
        <v>1060.1626907694019</v>
      </c>
      <c r="S245" s="76">
        <v>1068.3608338006484</v>
      </c>
      <c r="T245" s="76">
        <v>1076.2689287263122</v>
      </c>
      <c r="U245" s="76">
        <v>1084.1983313605986</v>
      </c>
      <c r="V245" s="76">
        <v>1092.4148703317517</v>
      </c>
    </row>
    <row r="246" spans="1:22" x14ac:dyDescent="0.3">
      <c r="A246" s="3" t="str">
        <f>INDEX(Mapping!$Y:$Y,MATCH($C246,Mapping!$W:$W,0))</f>
        <v>Metro</v>
      </c>
      <c r="B246" s="3" t="str">
        <f>INDEX(Mapping!$V:$V,MATCH(C246,Mapping!$W:$W,0))</f>
        <v>NEV</v>
      </c>
      <c r="C246" t="s">
        <v>117</v>
      </c>
      <c r="D246">
        <v>4</v>
      </c>
      <c r="E246" s="20"/>
      <c r="F246" s="76">
        <v>1053.0450963222418</v>
      </c>
      <c r="G246" s="76">
        <v>1061.1733800350262</v>
      </c>
      <c r="H246" s="76">
        <v>1097.4912434325745</v>
      </c>
      <c r="I246" s="76">
        <v>1107.6789258610625</v>
      </c>
      <c r="J246" s="76">
        <v>979.86981903093988</v>
      </c>
      <c r="K246" s="76">
        <v>1068.780502043199</v>
      </c>
      <c r="L246" s="76">
        <v>877.99299474605948</v>
      </c>
      <c r="M246" s="76">
        <v>996.16484760342826</v>
      </c>
      <c r="N246" s="76">
        <v>1011.1226456250478</v>
      </c>
      <c r="O246" s="76">
        <v>1022.4778382143417</v>
      </c>
      <c r="P246" s="76">
        <v>1032.5947507073938</v>
      </c>
      <c r="Q246" s="76">
        <v>1042.3992899112311</v>
      </c>
      <c r="R246" s="76">
        <v>1051.2733590956855</v>
      </c>
      <c r="S246" s="76">
        <v>1060.1626907694019</v>
      </c>
      <c r="T246" s="76">
        <v>1068.3608338006484</v>
      </c>
      <c r="U246" s="76">
        <v>1076.2689287263122</v>
      </c>
      <c r="V246" s="76">
        <v>1084.1983313605986</v>
      </c>
    </row>
    <row r="247" spans="1:22" x14ac:dyDescent="0.3">
      <c r="A247" s="3" t="str">
        <f>INDEX(Mapping!$Y:$Y,MATCH($C247,Mapping!$W:$W,0))</f>
        <v>Metro</v>
      </c>
      <c r="B247" s="3" t="str">
        <f>INDEX(Mapping!$V:$V,MATCH(C247,Mapping!$W:$W,0))</f>
        <v>NEV</v>
      </c>
      <c r="C247" t="s">
        <v>117</v>
      </c>
      <c r="D247">
        <v>5</v>
      </c>
      <c r="E247" s="20"/>
      <c r="F247" s="76">
        <v>1270.8204903677758</v>
      </c>
      <c r="G247" s="76">
        <v>1331.2810858143607</v>
      </c>
      <c r="H247" s="76">
        <v>1353.4754816112084</v>
      </c>
      <c r="I247" s="76">
        <v>1097.4912434325745</v>
      </c>
      <c r="J247" s="76">
        <v>1107.6789258610625</v>
      </c>
      <c r="K247" s="76">
        <v>979.86981903093988</v>
      </c>
      <c r="L247" s="76">
        <v>1068.780502043199</v>
      </c>
      <c r="M247" s="76">
        <v>877.99299474605948</v>
      </c>
      <c r="N247" s="76">
        <v>996.16484760342826</v>
      </c>
      <c r="O247" s="76">
        <v>1011.1226456250478</v>
      </c>
      <c r="P247" s="76">
        <v>1022.4778382143417</v>
      </c>
      <c r="Q247" s="76">
        <v>1032.5947507073938</v>
      </c>
      <c r="R247" s="76">
        <v>1042.3992899112311</v>
      </c>
      <c r="S247" s="76">
        <v>1051.2733590956855</v>
      </c>
      <c r="T247" s="76">
        <v>1060.1626907694019</v>
      </c>
      <c r="U247" s="76">
        <v>1068.3608338006484</v>
      </c>
      <c r="V247" s="76">
        <v>1076.2689287263122</v>
      </c>
    </row>
    <row r="248" spans="1:22" x14ac:dyDescent="0.3">
      <c r="A248" s="3" t="str">
        <f>INDEX(Mapping!$Y:$Y,MATCH($C248,Mapping!$W:$W,0))</f>
        <v>Rural</v>
      </c>
      <c r="B248" s="3" t="str">
        <f>INDEX(Mapping!$V:$V,MATCH(C248,Mapping!$W:$W,0))</f>
        <v>NEV</v>
      </c>
      <c r="C248" t="s">
        <v>118</v>
      </c>
      <c r="D248">
        <v>0</v>
      </c>
      <c r="E248" s="20"/>
      <c r="F248" s="76">
        <v>65.357933579335793</v>
      </c>
      <c r="G248" s="76">
        <v>61.771217712177126</v>
      </c>
      <c r="H248" s="76">
        <v>59.512915129151295</v>
      </c>
      <c r="I248" s="76">
        <v>67.400071035230852</v>
      </c>
      <c r="J248" s="76">
        <v>68.114962740718767</v>
      </c>
      <c r="K248" s="76">
        <v>68.861035827858217</v>
      </c>
      <c r="L248" s="76">
        <v>69.587057721943211</v>
      </c>
      <c r="M248" s="76">
        <v>70.244499759371877</v>
      </c>
      <c r="N248" s="76">
        <v>70.906049068770898</v>
      </c>
      <c r="O248" s="76">
        <v>71.590136366759268</v>
      </c>
      <c r="P248" s="76">
        <v>72.270423719527045</v>
      </c>
      <c r="Q248" s="76">
        <v>72.947519857640529</v>
      </c>
      <c r="R248" s="76">
        <v>73.660872728823747</v>
      </c>
      <c r="S248" s="76">
        <v>74.380817985337046</v>
      </c>
      <c r="T248" s="76">
        <v>75.109881424263548</v>
      </c>
      <c r="U248" s="76">
        <v>75.848935441246041</v>
      </c>
      <c r="V248" s="76">
        <v>76.5818404513887</v>
      </c>
    </row>
    <row r="249" spans="1:22" x14ac:dyDescent="0.3">
      <c r="A249" s="3" t="str">
        <f>INDEX(Mapping!$Y:$Y,MATCH($C249,Mapping!$W:$W,0))</f>
        <v>Rural</v>
      </c>
      <c r="B249" s="3" t="str">
        <f>INDEX(Mapping!$V:$V,MATCH(C249,Mapping!$W:$W,0))</f>
        <v>NEV</v>
      </c>
      <c r="C249" t="s">
        <v>118</v>
      </c>
      <c r="D249">
        <v>1</v>
      </c>
      <c r="E249" s="20"/>
      <c r="F249" s="76">
        <v>82.605166051660518</v>
      </c>
      <c r="G249" s="76">
        <v>78.071955719557195</v>
      </c>
      <c r="H249" s="76">
        <v>75.217712177121768</v>
      </c>
      <c r="I249" s="76">
        <v>59.512915129151295</v>
      </c>
      <c r="J249" s="76">
        <v>67.400071035230852</v>
      </c>
      <c r="K249" s="76">
        <v>68.114962740718767</v>
      </c>
      <c r="L249" s="76">
        <v>68.861035827858217</v>
      </c>
      <c r="M249" s="76">
        <v>69.587057721943211</v>
      </c>
      <c r="N249" s="76">
        <v>70.244499759371877</v>
      </c>
      <c r="O249" s="76">
        <v>70.906049068770898</v>
      </c>
      <c r="P249" s="76">
        <v>71.590136366759268</v>
      </c>
      <c r="Q249" s="76">
        <v>72.270423719527045</v>
      </c>
      <c r="R249" s="76">
        <v>72.947519857640529</v>
      </c>
      <c r="S249" s="76">
        <v>73.660872728823747</v>
      </c>
      <c r="T249" s="76">
        <v>74.380817985337046</v>
      </c>
      <c r="U249" s="76">
        <v>75.109881424263548</v>
      </c>
      <c r="V249" s="76">
        <v>75.848935441246041</v>
      </c>
    </row>
    <row r="250" spans="1:22" x14ac:dyDescent="0.3">
      <c r="A250" s="3" t="str">
        <f>INDEX(Mapping!$Y:$Y,MATCH($C250,Mapping!$W:$W,0))</f>
        <v>Rural</v>
      </c>
      <c r="B250" s="3" t="str">
        <f>INDEX(Mapping!$V:$V,MATCH(C250,Mapping!$W:$W,0))</f>
        <v>NEV</v>
      </c>
      <c r="C250" t="s">
        <v>118</v>
      </c>
      <c r="D250">
        <v>2</v>
      </c>
      <c r="E250" s="20"/>
      <c r="F250" s="76">
        <v>75.343173431734314</v>
      </c>
      <c r="G250" s="76">
        <v>71.208487084870853</v>
      </c>
      <c r="H250" s="76">
        <v>68.605166051660518</v>
      </c>
      <c r="I250" s="76">
        <v>75.217712177121768</v>
      </c>
      <c r="J250" s="76">
        <v>59.512915129151295</v>
      </c>
      <c r="K250" s="76">
        <v>67.400071035230852</v>
      </c>
      <c r="L250" s="76">
        <v>68.114962740718767</v>
      </c>
      <c r="M250" s="76">
        <v>68.861035827858217</v>
      </c>
      <c r="N250" s="76">
        <v>69.587057721943211</v>
      </c>
      <c r="O250" s="76">
        <v>70.244499759371877</v>
      </c>
      <c r="P250" s="76">
        <v>70.906049068770898</v>
      </c>
      <c r="Q250" s="76">
        <v>71.590136366759268</v>
      </c>
      <c r="R250" s="76">
        <v>72.270423719527045</v>
      </c>
      <c r="S250" s="76">
        <v>72.947519857640529</v>
      </c>
      <c r="T250" s="76">
        <v>73.660872728823747</v>
      </c>
      <c r="U250" s="76">
        <v>74.380817985337046</v>
      </c>
      <c r="V250" s="76">
        <v>75.109881424263548</v>
      </c>
    </row>
    <row r="251" spans="1:22" x14ac:dyDescent="0.3">
      <c r="A251" s="3" t="str">
        <f>INDEX(Mapping!$Y:$Y,MATCH($C251,Mapping!$W:$W,0))</f>
        <v>Rural</v>
      </c>
      <c r="B251" s="3" t="str">
        <f>INDEX(Mapping!$V:$V,MATCH(C251,Mapping!$W:$W,0))</f>
        <v>NEV</v>
      </c>
      <c r="C251" t="s">
        <v>118</v>
      </c>
      <c r="D251">
        <v>3</v>
      </c>
      <c r="E251" s="20"/>
      <c r="F251" s="76">
        <v>79.881918819188186</v>
      </c>
      <c r="G251" s="76">
        <v>75.498154981549817</v>
      </c>
      <c r="H251" s="76">
        <v>72.738007380073796</v>
      </c>
      <c r="I251" s="76">
        <v>68.605166051660518</v>
      </c>
      <c r="J251" s="76">
        <v>75.217712177121768</v>
      </c>
      <c r="K251" s="76">
        <v>59.512915129151295</v>
      </c>
      <c r="L251" s="76">
        <v>67.400071035230852</v>
      </c>
      <c r="M251" s="76">
        <v>68.114962740718767</v>
      </c>
      <c r="N251" s="76">
        <v>68.861035827858217</v>
      </c>
      <c r="O251" s="76">
        <v>69.587057721943211</v>
      </c>
      <c r="P251" s="76">
        <v>70.244499759371877</v>
      </c>
      <c r="Q251" s="76">
        <v>70.906049068770898</v>
      </c>
      <c r="R251" s="76">
        <v>71.590136366759268</v>
      </c>
      <c r="S251" s="76">
        <v>72.270423719527045</v>
      </c>
      <c r="T251" s="76">
        <v>72.947519857640529</v>
      </c>
      <c r="U251" s="76">
        <v>73.660872728823747</v>
      </c>
      <c r="V251" s="76">
        <v>74.380817985337046</v>
      </c>
    </row>
    <row r="252" spans="1:22" x14ac:dyDescent="0.3">
      <c r="A252" s="3" t="str">
        <f>INDEX(Mapping!$Y:$Y,MATCH($C252,Mapping!$W:$W,0))</f>
        <v>Rural</v>
      </c>
      <c r="B252" s="3" t="str">
        <f>INDEX(Mapping!$V:$V,MATCH(C252,Mapping!$W:$W,0))</f>
        <v>NEV</v>
      </c>
      <c r="C252" t="s">
        <v>118</v>
      </c>
      <c r="D252">
        <v>4</v>
      </c>
      <c r="E252" s="20"/>
      <c r="F252" s="76">
        <v>91.682656826568262</v>
      </c>
      <c r="G252" s="76">
        <v>86.651291512915137</v>
      </c>
      <c r="H252" s="76">
        <v>83.483394833948338</v>
      </c>
      <c r="I252" s="76">
        <v>72.738007380073796</v>
      </c>
      <c r="J252" s="76">
        <v>68.605166051660518</v>
      </c>
      <c r="K252" s="76">
        <v>75.217712177121768</v>
      </c>
      <c r="L252" s="76">
        <v>59.512915129151295</v>
      </c>
      <c r="M252" s="76">
        <v>67.400071035230852</v>
      </c>
      <c r="N252" s="76">
        <v>68.114962740718767</v>
      </c>
      <c r="O252" s="76">
        <v>68.861035827858217</v>
      </c>
      <c r="P252" s="76">
        <v>69.587057721943211</v>
      </c>
      <c r="Q252" s="76">
        <v>70.244499759371877</v>
      </c>
      <c r="R252" s="76">
        <v>70.906049068770898</v>
      </c>
      <c r="S252" s="76">
        <v>71.590136366759268</v>
      </c>
      <c r="T252" s="76">
        <v>72.270423719527045</v>
      </c>
      <c r="U252" s="76">
        <v>72.947519857640529</v>
      </c>
      <c r="V252" s="76">
        <v>73.660872728823747</v>
      </c>
    </row>
    <row r="253" spans="1:22" x14ac:dyDescent="0.3">
      <c r="A253" s="3" t="str">
        <f>INDEX(Mapping!$Y:$Y,MATCH($C253,Mapping!$W:$W,0))</f>
        <v>Rural</v>
      </c>
      <c r="B253" s="3" t="str">
        <f>INDEX(Mapping!$V:$V,MATCH(C253,Mapping!$W:$W,0))</f>
        <v>NEV</v>
      </c>
      <c r="C253" t="s">
        <v>118</v>
      </c>
      <c r="D253">
        <v>5</v>
      </c>
      <c r="E253" s="20"/>
      <c r="F253" s="76">
        <v>109.96125461254611</v>
      </c>
      <c r="G253" s="76">
        <v>110.35608856088561</v>
      </c>
      <c r="H253" s="76">
        <v>108.77675276752767</v>
      </c>
      <c r="I253" s="76">
        <v>83.483394833948338</v>
      </c>
      <c r="J253" s="76">
        <v>72.738007380073796</v>
      </c>
      <c r="K253" s="76">
        <v>68.605166051660518</v>
      </c>
      <c r="L253" s="76">
        <v>75.217712177121768</v>
      </c>
      <c r="M253" s="76">
        <v>59.512915129151295</v>
      </c>
      <c r="N253" s="76">
        <v>67.400071035230852</v>
      </c>
      <c r="O253" s="76">
        <v>68.114962740718767</v>
      </c>
      <c r="P253" s="76">
        <v>68.861035827858217</v>
      </c>
      <c r="Q253" s="76">
        <v>69.587057721943211</v>
      </c>
      <c r="R253" s="76">
        <v>70.244499759371877</v>
      </c>
      <c r="S253" s="76">
        <v>70.906049068770898</v>
      </c>
      <c r="T253" s="76">
        <v>71.590136366759268</v>
      </c>
      <c r="U253" s="76">
        <v>72.270423719527045</v>
      </c>
      <c r="V253" s="76">
        <v>72.947519857640529</v>
      </c>
    </row>
    <row r="254" spans="1:22" x14ac:dyDescent="0.3">
      <c r="A254" s="3" t="str">
        <f>INDEX(Mapping!$Y:$Y,MATCH($C254,Mapping!$W:$W,0))</f>
        <v>Metro</v>
      </c>
      <c r="B254" s="3" t="str">
        <f>INDEX(Mapping!$V:$V,MATCH(C254,Mapping!$W:$W,0))</f>
        <v>SWV</v>
      </c>
      <c r="C254" t="s">
        <v>175</v>
      </c>
      <c r="D254">
        <v>0</v>
      </c>
      <c r="E254" s="20"/>
      <c r="F254" s="76">
        <v>1077.9816583295437</v>
      </c>
      <c r="G254" s="76">
        <v>1108.5948158253752</v>
      </c>
      <c r="H254" s="76">
        <v>1125.8033954827952</v>
      </c>
      <c r="I254" s="76">
        <v>1291.9458664931735</v>
      </c>
      <c r="J254" s="76">
        <v>1336.5521988653845</v>
      </c>
      <c r="K254" s="76">
        <v>1389.8389861218725</v>
      </c>
      <c r="L254" s="76">
        <v>1445.9821924529303</v>
      </c>
      <c r="M254" s="76">
        <v>1502.623348842543</v>
      </c>
      <c r="N254" s="76">
        <v>1558.6451021600087</v>
      </c>
      <c r="O254" s="76">
        <v>1612.4570057145688</v>
      </c>
      <c r="P254" s="76">
        <v>1659.3309284670177</v>
      </c>
      <c r="Q254" s="76">
        <v>1698.5571115941507</v>
      </c>
      <c r="R254" s="76">
        <v>1732.5639547027793</v>
      </c>
      <c r="S254" s="76">
        <v>1765.0980939104413</v>
      </c>
      <c r="T254" s="76">
        <v>1796.5060666478644</v>
      </c>
      <c r="U254" s="76">
        <v>1828.1412596532557</v>
      </c>
      <c r="V254" s="76">
        <v>1860.258872558243</v>
      </c>
    </row>
    <row r="255" spans="1:22" x14ac:dyDescent="0.3">
      <c r="A255" s="3" t="str">
        <f>INDEX(Mapping!$Y:$Y,MATCH($C255,Mapping!$W:$W,0))</f>
        <v>Metro</v>
      </c>
      <c r="B255" s="3" t="str">
        <f>INDEX(Mapping!$V:$V,MATCH(C255,Mapping!$W:$W,0))</f>
        <v>SWV</v>
      </c>
      <c r="C255" t="s">
        <v>175</v>
      </c>
      <c r="D255">
        <v>1</v>
      </c>
      <c r="E255" s="20"/>
      <c r="F255" s="76">
        <v>1072.5691981203577</v>
      </c>
      <c r="G255" s="76">
        <v>1103.0286493860847</v>
      </c>
      <c r="H255" s="76">
        <v>1120.1508261330907</v>
      </c>
      <c r="I255" s="76">
        <v>1125.8033954827952</v>
      </c>
      <c r="J255" s="76">
        <v>1291.9458664931735</v>
      </c>
      <c r="K255" s="76">
        <v>1336.5521988653845</v>
      </c>
      <c r="L255" s="76">
        <v>1389.8389861218725</v>
      </c>
      <c r="M255" s="76">
        <v>1445.9821924529303</v>
      </c>
      <c r="N255" s="76">
        <v>1502.623348842543</v>
      </c>
      <c r="O255" s="76">
        <v>1558.6451021600087</v>
      </c>
      <c r="P255" s="76">
        <v>1612.4570057145688</v>
      </c>
      <c r="Q255" s="76">
        <v>1659.3309284670177</v>
      </c>
      <c r="R255" s="76">
        <v>1698.5571115941507</v>
      </c>
      <c r="S255" s="76">
        <v>1732.5639547027793</v>
      </c>
      <c r="T255" s="76">
        <v>1765.0980939104413</v>
      </c>
      <c r="U255" s="76">
        <v>1796.5060666478644</v>
      </c>
      <c r="V255" s="76">
        <v>1828.1412596532557</v>
      </c>
    </row>
    <row r="256" spans="1:22" x14ac:dyDescent="0.3">
      <c r="A256" s="3" t="str">
        <f>INDEX(Mapping!$Y:$Y,MATCH($C256,Mapping!$W:$W,0))</f>
        <v>Metro</v>
      </c>
      <c r="B256" s="3" t="str">
        <f>INDEX(Mapping!$V:$V,MATCH(C256,Mapping!$W:$W,0))</f>
        <v>SWV</v>
      </c>
      <c r="C256" t="s">
        <v>175</v>
      </c>
      <c r="D256">
        <v>2</v>
      </c>
      <c r="E256" s="20"/>
      <c r="F256" s="76">
        <v>1025.6612096407457</v>
      </c>
      <c r="G256" s="76">
        <v>1054.7885402455661</v>
      </c>
      <c r="H256" s="76">
        <v>1071.1618917689859</v>
      </c>
      <c r="I256" s="76">
        <v>1120.1508261330907</v>
      </c>
      <c r="J256" s="76">
        <v>1125.8033954827952</v>
      </c>
      <c r="K256" s="76">
        <v>1291.9458664931735</v>
      </c>
      <c r="L256" s="76">
        <v>1336.5521988653845</v>
      </c>
      <c r="M256" s="76">
        <v>1389.8389861218725</v>
      </c>
      <c r="N256" s="76">
        <v>1445.9821924529303</v>
      </c>
      <c r="O256" s="76">
        <v>1502.623348842543</v>
      </c>
      <c r="P256" s="76">
        <v>1558.6451021600087</v>
      </c>
      <c r="Q256" s="76">
        <v>1612.4570057145688</v>
      </c>
      <c r="R256" s="76">
        <v>1659.3309284670177</v>
      </c>
      <c r="S256" s="76">
        <v>1698.5571115941507</v>
      </c>
      <c r="T256" s="76">
        <v>1732.5639547027793</v>
      </c>
      <c r="U256" s="76">
        <v>1765.0980939104413</v>
      </c>
      <c r="V256" s="76">
        <v>1796.5060666478644</v>
      </c>
    </row>
    <row r="257" spans="1:22" x14ac:dyDescent="0.3">
      <c r="A257" s="3" t="str">
        <f>INDEX(Mapping!$Y:$Y,MATCH($C257,Mapping!$W:$W,0))</f>
        <v>Metro</v>
      </c>
      <c r="B257" s="3" t="str">
        <f>INDEX(Mapping!$V:$V,MATCH(C257,Mapping!$W:$W,0))</f>
        <v>SWV</v>
      </c>
      <c r="C257" t="s">
        <v>175</v>
      </c>
      <c r="D257">
        <v>3</v>
      </c>
      <c r="E257" s="20"/>
      <c r="F257" s="76">
        <v>1062.6463544035169</v>
      </c>
      <c r="G257" s="76">
        <v>1092.824010914052</v>
      </c>
      <c r="H257" s="76">
        <v>1109.7877823252995</v>
      </c>
      <c r="I257" s="76">
        <v>1071.1618917689859</v>
      </c>
      <c r="J257" s="76">
        <v>1120.1508261330907</v>
      </c>
      <c r="K257" s="76">
        <v>1125.8033954827952</v>
      </c>
      <c r="L257" s="76">
        <v>1291.9458664931735</v>
      </c>
      <c r="M257" s="76">
        <v>1336.5521988653845</v>
      </c>
      <c r="N257" s="76">
        <v>1389.8389861218725</v>
      </c>
      <c r="O257" s="76">
        <v>1445.9821924529303</v>
      </c>
      <c r="P257" s="76">
        <v>1502.623348842543</v>
      </c>
      <c r="Q257" s="76">
        <v>1558.6451021600087</v>
      </c>
      <c r="R257" s="76">
        <v>1612.4570057145688</v>
      </c>
      <c r="S257" s="76">
        <v>1659.3309284670177</v>
      </c>
      <c r="T257" s="76">
        <v>1698.5571115941507</v>
      </c>
      <c r="U257" s="76">
        <v>1732.5639547027793</v>
      </c>
      <c r="V257" s="76">
        <v>1765.0980939104413</v>
      </c>
    </row>
    <row r="258" spans="1:22" x14ac:dyDescent="0.3">
      <c r="A258" s="3" t="str">
        <f>INDEX(Mapping!$Y:$Y,MATCH($C258,Mapping!$W:$W,0))</f>
        <v>Metro</v>
      </c>
      <c r="B258" s="3" t="str">
        <f>INDEX(Mapping!$V:$V,MATCH(C258,Mapping!$W:$W,0))</f>
        <v>SWV</v>
      </c>
      <c r="C258" t="s">
        <v>175</v>
      </c>
      <c r="D258">
        <v>4</v>
      </c>
      <c r="E258" s="20"/>
      <c r="F258" s="76">
        <v>888.54555100803395</v>
      </c>
      <c r="G258" s="76">
        <v>913.77899045020456</v>
      </c>
      <c r="H258" s="76">
        <v>927.96346824314082</v>
      </c>
      <c r="I258" s="76">
        <v>1109.7877823252995</v>
      </c>
      <c r="J258" s="76">
        <v>1071.1618917689859</v>
      </c>
      <c r="K258" s="76">
        <v>1120.1508261330907</v>
      </c>
      <c r="L258" s="76">
        <v>1125.8033954827952</v>
      </c>
      <c r="M258" s="76">
        <v>1291.9458664931735</v>
      </c>
      <c r="N258" s="76">
        <v>1336.5521988653845</v>
      </c>
      <c r="O258" s="76">
        <v>1389.8389861218725</v>
      </c>
      <c r="P258" s="76">
        <v>1445.9821924529303</v>
      </c>
      <c r="Q258" s="76">
        <v>1502.623348842543</v>
      </c>
      <c r="R258" s="76">
        <v>1558.6451021600087</v>
      </c>
      <c r="S258" s="76">
        <v>1612.4570057145688</v>
      </c>
      <c r="T258" s="76">
        <v>1659.3309284670177</v>
      </c>
      <c r="U258" s="76">
        <v>1698.5571115941507</v>
      </c>
      <c r="V258" s="76">
        <v>1732.5639547027793</v>
      </c>
    </row>
    <row r="259" spans="1:22" x14ac:dyDescent="0.3">
      <c r="A259" s="3" t="str">
        <f>INDEX(Mapping!$Y:$Y,MATCH($C259,Mapping!$W:$W,0))</f>
        <v>Metro</v>
      </c>
      <c r="B259" s="3" t="str">
        <f>INDEX(Mapping!$V:$V,MATCH(C259,Mapping!$W:$W,0))</f>
        <v>SWV</v>
      </c>
      <c r="C259" t="s">
        <v>175</v>
      </c>
      <c r="D259">
        <v>5</v>
      </c>
      <c r="E259" s="20"/>
      <c r="F259" s="76">
        <v>616.14006366530248</v>
      </c>
      <c r="G259" s="76">
        <v>630.25648021828101</v>
      </c>
      <c r="H259" s="76">
        <v>637.31468849477039</v>
      </c>
      <c r="I259" s="76">
        <v>927.96346824314082</v>
      </c>
      <c r="J259" s="76">
        <v>1109.7877823252995</v>
      </c>
      <c r="K259" s="76">
        <v>1071.1618917689859</v>
      </c>
      <c r="L259" s="76">
        <v>1120.1508261330907</v>
      </c>
      <c r="M259" s="76">
        <v>1125.8033954827952</v>
      </c>
      <c r="N259" s="76">
        <v>1291.9458664931735</v>
      </c>
      <c r="O259" s="76">
        <v>1336.5521988653845</v>
      </c>
      <c r="P259" s="76">
        <v>1389.8389861218725</v>
      </c>
      <c r="Q259" s="76">
        <v>1445.9821924529303</v>
      </c>
      <c r="R259" s="76">
        <v>1502.623348842543</v>
      </c>
      <c r="S259" s="76">
        <v>1558.6451021600087</v>
      </c>
      <c r="T259" s="76">
        <v>1612.4570057145688</v>
      </c>
      <c r="U259" s="76">
        <v>1659.3309284670177</v>
      </c>
      <c r="V259" s="76">
        <v>1698.5571115941507</v>
      </c>
    </row>
    <row r="260" spans="1:22" x14ac:dyDescent="0.3">
      <c r="A260" s="3" t="str">
        <f>INDEX(Mapping!$Y:$Y,MATCH($C260,Mapping!$W:$W,0))</f>
        <v>Metro</v>
      </c>
      <c r="B260" s="3" t="str">
        <f>INDEX(Mapping!$V:$V,MATCH(C260,Mapping!$W:$W,0))</f>
        <v>NEV</v>
      </c>
      <c r="C260" t="s">
        <v>119</v>
      </c>
      <c r="D260">
        <v>0</v>
      </c>
      <c r="E260" s="20"/>
      <c r="F260" s="76">
        <v>1234.9327817993794</v>
      </c>
      <c r="G260" s="76">
        <v>1275.2637021716648</v>
      </c>
      <c r="H260" s="76">
        <v>1288.8148914167527</v>
      </c>
      <c r="I260" s="76">
        <v>1451.096854130011</v>
      </c>
      <c r="J260" s="76">
        <v>1464.4830741775809</v>
      </c>
      <c r="K260" s="76">
        <v>1479.7567584432966</v>
      </c>
      <c r="L260" s="76">
        <v>1494.8297436393325</v>
      </c>
      <c r="M260" s="76">
        <v>1510.0442209815455</v>
      </c>
      <c r="N260" s="76">
        <v>1525.5619361730435</v>
      </c>
      <c r="O260" s="76">
        <v>1541.2131112829252</v>
      </c>
      <c r="P260" s="76">
        <v>1556.6158419712733</v>
      </c>
      <c r="Q260" s="76">
        <v>1572.4185533571174</v>
      </c>
      <c r="R260" s="76">
        <v>1588.918468205989</v>
      </c>
      <c r="S260" s="76">
        <v>1605.8538869609129</v>
      </c>
      <c r="T260" s="76">
        <v>1623.0552898677615</v>
      </c>
      <c r="U260" s="76">
        <v>1640.5200499550006</v>
      </c>
      <c r="V260" s="76">
        <v>1658.3232670356542</v>
      </c>
    </row>
    <row r="261" spans="1:22" x14ac:dyDescent="0.3">
      <c r="A261" s="3" t="str">
        <f>INDEX(Mapping!$Y:$Y,MATCH($C261,Mapping!$W:$W,0))</f>
        <v>Metro</v>
      </c>
      <c r="B261" s="3" t="str">
        <f>INDEX(Mapping!$V:$V,MATCH(C261,Mapping!$W:$W,0))</f>
        <v>NEV</v>
      </c>
      <c r="C261" t="s">
        <v>119</v>
      </c>
      <c r="D261">
        <v>1</v>
      </c>
      <c r="E261" s="20"/>
      <c r="F261" s="76">
        <v>1329.9276111685626</v>
      </c>
      <c r="G261" s="76">
        <v>1373.3609100310239</v>
      </c>
      <c r="H261" s="76">
        <v>1387.9544984488109</v>
      </c>
      <c r="I261" s="76">
        <v>1288.8148914167527</v>
      </c>
      <c r="J261" s="76">
        <v>1451.096854130011</v>
      </c>
      <c r="K261" s="76">
        <v>1464.4830741775809</v>
      </c>
      <c r="L261" s="76">
        <v>1479.7567584432966</v>
      </c>
      <c r="M261" s="76">
        <v>1494.8297436393325</v>
      </c>
      <c r="N261" s="76">
        <v>1510.0442209815455</v>
      </c>
      <c r="O261" s="76">
        <v>1525.5619361730435</v>
      </c>
      <c r="P261" s="76">
        <v>1541.2131112829252</v>
      </c>
      <c r="Q261" s="76">
        <v>1556.6158419712733</v>
      </c>
      <c r="R261" s="76">
        <v>1572.4185533571174</v>
      </c>
      <c r="S261" s="76">
        <v>1588.918468205989</v>
      </c>
      <c r="T261" s="76">
        <v>1605.8538869609129</v>
      </c>
      <c r="U261" s="76">
        <v>1623.0552898677615</v>
      </c>
      <c r="V261" s="76">
        <v>1640.5200499550006</v>
      </c>
    </row>
    <row r="262" spans="1:22" x14ac:dyDescent="0.3">
      <c r="A262" s="3" t="str">
        <f>INDEX(Mapping!$Y:$Y,MATCH($C262,Mapping!$W:$W,0))</f>
        <v>Metro</v>
      </c>
      <c r="B262" s="3" t="str">
        <f>INDEX(Mapping!$V:$V,MATCH(C262,Mapping!$W:$W,0))</f>
        <v>NEV</v>
      </c>
      <c r="C262" t="s">
        <v>119</v>
      </c>
      <c r="D262">
        <v>2</v>
      </c>
      <c r="E262" s="20"/>
      <c r="F262" s="76">
        <v>1296.5035045386649</v>
      </c>
      <c r="G262" s="76">
        <v>1338.8452257842123</v>
      </c>
      <c r="H262" s="76">
        <v>1353.0720441227163</v>
      </c>
      <c r="I262" s="76">
        <v>1387.9544984488109</v>
      </c>
      <c r="J262" s="76">
        <v>1288.8148914167527</v>
      </c>
      <c r="K262" s="76">
        <v>1451.096854130011</v>
      </c>
      <c r="L262" s="76">
        <v>1464.4830741775809</v>
      </c>
      <c r="M262" s="76">
        <v>1479.7567584432966</v>
      </c>
      <c r="N262" s="76">
        <v>1494.8297436393325</v>
      </c>
      <c r="O262" s="76">
        <v>1510.0442209815455</v>
      </c>
      <c r="P262" s="76">
        <v>1525.5619361730435</v>
      </c>
      <c r="Q262" s="76">
        <v>1541.2131112829252</v>
      </c>
      <c r="R262" s="76">
        <v>1556.6158419712733</v>
      </c>
      <c r="S262" s="76">
        <v>1572.4185533571174</v>
      </c>
      <c r="T262" s="76">
        <v>1588.918468205989</v>
      </c>
      <c r="U262" s="76">
        <v>1605.8538869609129</v>
      </c>
      <c r="V262" s="76">
        <v>1623.0552898677615</v>
      </c>
    </row>
    <row r="263" spans="1:22" x14ac:dyDescent="0.3">
      <c r="A263" s="3" t="str">
        <f>INDEX(Mapping!$Y:$Y,MATCH($C263,Mapping!$W:$W,0))</f>
        <v>Metro</v>
      </c>
      <c r="B263" s="3" t="str">
        <f>INDEX(Mapping!$V:$V,MATCH(C263,Mapping!$W:$W,0))</f>
        <v>NEV</v>
      </c>
      <c r="C263" t="s">
        <v>119</v>
      </c>
      <c r="D263">
        <v>3</v>
      </c>
      <c r="E263" s="20"/>
      <c r="F263" s="76">
        <v>1347.5192462369298</v>
      </c>
      <c r="G263" s="76">
        <v>1391.5270596346086</v>
      </c>
      <c r="H263" s="76">
        <v>1406.3136849362288</v>
      </c>
      <c r="I263" s="76">
        <v>1353.0720441227163</v>
      </c>
      <c r="J263" s="76">
        <v>1387.9544984488109</v>
      </c>
      <c r="K263" s="76">
        <v>1288.8148914167527</v>
      </c>
      <c r="L263" s="76">
        <v>1451.096854130011</v>
      </c>
      <c r="M263" s="76">
        <v>1464.4830741775809</v>
      </c>
      <c r="N263" s="76">
        <v>1479.7567584432966</v>
      </c>
      <c r="O263" s="76">
        <v>1494.8297436393325</v>
      </c>
      <c r="P263" s="76">
        <v>1510.0442209815455</v>
      </c>
      <c r="Q263" s="76">
        <v>1525.5619361730435</v>
      </c>
      <c r="R263" s="76">
        <v>1541.2131112829252</v>
      </c>
      <c r="S263" s="76">
        <v>1556.6158419712733</v>
      </c>
      <c r="T263" s="76">
        <v>1572.4185533571174</v>
      </c>
      <c r="U263" s="76">
        <v>1588.918468205989</v>
      </c>
      <c r="V263" s="76">
        <v>1605.8538869609129</v>
      </c>
    </row>
    <row r="264" spans="1:22" x14ac:dyDescent="0.3">
      <c r="A264" s="3" t="str">
        <f>INDEX(Mapping!$Y:$Y,MATCH($C264,Mapping!$W:$W,0))</f>
        <v>Metro</v>
      </c>
      <c r="B264" s="3" t="str">
        <f>INDEX(Mapping!$V:$V,MATCH(C264,Mapping!$W:$W,0))</f>
        <v>NEV</v>
      </c>
      <c r="C264" t="s">
        <v>119</v>
      </c>
      <c r="D264">
        <v>4</v>
      </c>
      <c r="E264" s="20"/>
      <c r="F264" s="76">
        <v>1246.3673445938182</v>
      </c>
      <c r="G264" s="76">
        <v>1287.0716994139952</v>
      </c>
      <c r="H264" s="76">
        <v>1300.7483626335747</v>
      </c>
      <c r="I264" s="76">
        <v>1406.3136849362288</v>
      </c>
      <c r="J264" s="76">
        <v>1353.0720441227163</v>
      </c>
      <c r="K264" s="76">
        <v>1387.9544984488109</v>
      </c>
      <c r="L264" s="76">
        <v>1288.8148914167527</v>
      </c>
      <c r="M264" s="76">
        <v>1451.096854130011</v>
      </c>
      <c r="N264" s="76">
        <v>1464.4830741775809</v>
      </c>
      <c r="O264" s="76">
        <v>1479.7567584432966</v>
      </c>
      <c r="P264" s="76">
        <v>1494.8297436393325</v>
      </c>
      <c r="Q264" s="76">
        <v>1510.0442209815455</v>
      </c>
      <c r="R264" s="76">
        <v>1525.5619361730435</v>
      </c>
      <c r="S264" s="76">
        <v>1541.2131112829252</v>
      </c>
      <c r="T264" s="76">
        <v>1556.6158419712733</v>
      </c>
      <c r="U264" s="76">
        <v>1572.4185533571174</v>
      </c>
      <c r="V264" s="76">
        <v>1588.918468205989</v>
      </c>
    </row>
    <row r="265" spans="1:22" x14ac:dyDescent="0.3">
      <c r="A265" s="3" t="str">
        <f>INDEX(Mapping!$Y:$Y,MATCH($C265,Mapping!$W:$W,0))</f>
        <v>Metro</v>
      </c>
      <c r="B265" s="3" t="str">
        <f>INDEX(Mapping!$V:$V,MATCH(C265,Mapping!$W:$W,0))</f>
        <v>NEV</v>
      </c>
      <c r="C265" t="s">
        <v>119</v>
      </c>
      <c r="D265">
        <v>5</v>
      </c>
      <c r="E265" s="20"/>
      <c r="F265" s="76">
        <v>1118.8780880156269</v>
      </c>
      <c r="G265" s="76">
        <v>1134.7075721015742</v>
      </c>
      <c r="H265" s="76">
        <v>1154.4552453177066</v>
      </c>
      <c r="I265" s="76">
        <v>1300.7483626335747</v>
      </c>
      <c r="J265" s="76">
        <v>1406.3136849362288</v>
      </c>
      <c r="K265" s="76">
        <v>1353.0720441227163</v>
      </c>
      <c r="L265" s="76">
        <v>1387.9544984488109</v>
      </c>
      <c r="M265" s="76">
        <v>1288.8148914167527</v>
      </c>
      <c r="N265" s="76">
        <v>1451.096854130011</v>
      </c>
      <c r="O265" s="76">
        <v>1464.4830741775809</v>
      </c>
      <c r="P265" s="76">
        <v>1479.7567584432966</v>
      </c>
      <c r="Q265" s="76">
        <v>1494.8297436393325</v>
      </c>
      <c r="R265" s="76">
        <v>1510.0442209815455</v>
      </c>
      <c r="S265" s="76">
        <v>1525.5619361730435</v>
      </c>
      <c r="T265" s="76">
        <v>1541.2131112829252</v>
      </c>
      <c r="U265" s="76">
        <v>1556.6158419712733</v>
      </c>
      <c r="V265" s="76">
        <v>1572.4185533571174</v>
      </c>
    </row>
    <row r="266" spans="1:22" x14ac:dyDescent="0.3">
      <c r="A266" s="3" t="str">
        <f>INDEX(Mapping!$Y:$Y,MATCH($C266,Mapping!$W:$W,0))</f>
        <v>Metro</v>
      </c>
      <c r="B266" s="3" t="str">
        <f>INDEX(Mapping!$V:$V,MATCH(C266,Mapping!$W:$W,0))</f>
        <v>SWV</v>
      </c>
      <c r="C266" t="s">
        <v>176</v>
      </c>
      <c r="D266">
        <v>0</v>
      </c>
      <c r="E266" s="20"/>
      <c r="F266" s="76">
        <v>1076.9789771578735</v>
      </c>
      <c r="G266" s="76">
        <v>1136.7982615726703</v>
      </c>
      <c r="H266" s="76">
        <v>1203.3414190418437</v>
      </c>
      <c r="I266" s="76">
        <v>1195.0344966642358</v>
      </c>
      <c r="J266" s="76">
        <v>1242.3385742890039</v>
      </c>
      <c r="K266" s="76">
        <v>1306.3645257328444</v>
      </c>
      <c r="L266" s="76">
        <v>1370.0990664236099</v>
      </c>
      <c r="M266" s="76">
        <v>1420.4835914161965</v>
      </c>
      <c r="N266" s="76">
        <v>1471.4270617825334</v>
      </c>
      <c r="O266" s="76">
        <v>1517.1280203046861</v>
      </c>
      <c r="P266" s="76">
        <v>1558.958032338968</v>
      </c>
      <c r="Q266" s="76">
        <v>1598.6980631278368</v>
      </c>
      <c r="R266" s="76">
        <v>1635.8361176349642</v>
      </c>
      <c r="S266" s="76">
        <v>1671.5275286434207</v>
      </c>
      <c r="T266" s="76">
        <v>1707.0358006984636</v>
      </c>
      <c r="U266" s="76">
        <v>1742.5702872980073</v>
      </c>
      <c r="V266" s="76">
        <v>1778.4387386452095</v>
      </c>
    </row>
    <row r="267" spans="1:22" x14ac:dyDescent="0.3">
      <c r="A267" s="3" t="str">
        <f>INDEX(Mapping!$Y:$Y,MATCH($C267,Mapping!$W:$W,0))</f>
        <v>Metro</v>
      </c>
      <c r="B267" s="3" t="str">
        <f>INDEX(Mapping!$V:$V,MATCH(C267,Mapping!$W:$W,0))</f>
        <v>SWV</v>
      </c>
      <c r="C267" t="s">
        <v>176</v>
      </c>
      <c r="D267">
        <v>1</v>
      </c>
      <c r="E267" s="20"/>
      <c r="F267" s="76">
        <v>918.29593693147353</v>
      </c>
      <c r="G267" s="76">
        <v>969.30139478471801</v>
      </c>
      <c r="H267" s="76">
        <v>1026.0400242571254</v>
      </c>
      <c r="I267" s="76">
        <v>1203.3414190418437</v>
      </c>
      <c r="J267" s="76">
        <v>1195.0344966642358</v>
      </c>
      <c r="K267" s="76">
        <v>1242.3385742890039</v>
      </c>
      <c r="L267" s="76">
        <v>1306.3645257328444</v>
      </c>
      <c r="M267" s="76">
        <v>1370.0990664236099</v>
      </c>
      <c r="N267" s="76">
        <v>1420.4835914161965</v>
      </c>
      <c r="O267" s="76">
        <v>1471.4270617825334</v>
      </c>
      <c r="P267" s="76">
        <v>1517.1280203046861</v>
      </c>
      <c r="Q267" s="76">
        <v>1558.958032338968</v>
      </c>
      <c r="R267" s="76">
        <v>1598.6980631278368</v>
      </c>
      <c r="S267" s="76">
        <v>1635.8361176349642</v>
      </c>
      <c r="T267" s="76">
        <v>1671.5275286434207</v>
      </c>
      <c r="U267" s="76">
        <v>1707.0358006984636</v>
      </c>
      <c r="V267" s="76">
        <v>1742.5702872980073</v>
      </c>
    </row>
    <row r="268" spans="1:22" x14ac:dyDescent="0.3">
      <c r="A268" s="3" t="str">
        <f>INDEX(Mapping!$Y:$Y,MATCH($C268,Mapping!$W:$W,0))</f>
        <v>Metro</v>
      </c>
      <c r="B268" s="3" t="str">
        <f>INDEX(Mapping!$V:$V,MATCH(C268,Mapping!$W:$W,0))</f>
        <v>SWV</v>
      </c>
      <c r="C268" t="s">
        <v>176</v>
      </c>
      <c r="D268">
        <v>2</v>
      </c>
      <c r="E268" s="20"/>
      <c r="F268" s="76">
        <v>814.07216494845352</v>
      </c>
      <c r="G268" s="76">
        <v>859.28865979381442</v>
      </c>
      <c r="H268" s="76">
        <v>909.58762886597935</v>
      </c>
      <c r="I268" s="76">
        <v>1026.0400242571254</v>
      </c>
      <c r="J268" s="76">
        <v>1203.3414190418437</v>
      </c>
      <c r="K268" s="76">
        <v>1195.0344966642358</v>
      </c>
      <c r="L268" s="76">
        <v>1242.3385742890039</v>
      </c>
      <c r="M268" s="76">
        <v>1306.3645257328444</v>
      </c>
      <c r="N268" s="76">
        <v>1370.0990664236099</v>
      </c>
      <c r="O268" s="76">
        <v>1420.4835914161965</v>
      </c>
      <c r="P268" s="76">
        <v>1471.4270617825334</v>
      </c>
      <c r="Q268" s="76">
        <v>1517.1280203046861</v>
      </c>
      <c r="R268" s="76">
        <v>1558.958032338968</v>
      </c>
      <c r="S268" s="76">
        <v>1598.6980631278368</v>
      </c>
      <c r="T268" s="76">
        <v>1635.8361176349642</v>
      </c>
      <c r="U268" s="76">
        <v>1671.5275286434207</v>
      </c>
      <c r="V268" s="76">
        <v>1707.0358006984636</v>
      </c>
    </row>
    <row r="269" spans="1:22" x14ac:dyDescent="0.3">
      <c r="A269" s="3" t="str">
        <f>INDEX(Mapping!$Y:$Y,MATCH($C269,Mapping!$W:$W,0))</f>
        <v>Metro</v>
      </c>
      <c r="B269" s="3" t="str">
        <f>INDEX(Mapping!$V:$V,MATCH(C269,Mapping!$W:$W,0))</f>
        <v>SWV</v>
      </c>
      <c r="C269" t="s">
        <v>176</v>
      </c>
      <c r="D269">
        <v>3</v>
      </c>
      <c r="E269" s="20"/>
      <c r="F269" s="76">
        <v>714.54315746917325</v>
      </c>
      <c r="G269" s="76">
        <v>754.23145340610472</v>
      </c>
      <c r="H269" s="76">
        <v>798.38083687083088</v>
      </c>
      <c r="I269" s="76">
        <v>909.58762886597935</v>
      </c>
      <c r="J269" s="76">
        <v>1026.0400242571254</v>
      </c>
      <c r="K269" s="76">
        <v>1203.3414190418437</v>
      </c>
      <c r="L269" s="76">
        <v>1195.0344966642358</v>
      </c>
      <c r="M269" s="76">
        <v>1242.3385742890039</v>
      </c>
      <c r="N269" s="76">
        <v>1306.3645257328444</v>
      </c>
      <c r="O269" s="76">
        <v>1370.0990664236099</v>
      </c>
      <c r="P269" s="76">
        <v>1420.4835914161965</v>
      </c>
      <c r="Q269" s="76">
        <v>1471.4270617825334</v>
      </c>
      <c r="R269" s="76">
        <v>1517.1280203046861</v>
      </c>
      <c r="S269" s="76">
        <v>1558.958032338968</v>
      </c>
      <c r="T269" s="76">
        <v>1598.6980631278368</v>
      </c>
      <c r="U269" s="76">
        <v>1635.8361176349642</v>
      </c>
      <c r="V269" s="76">
        <v>1671.5275286434207</v>
      </c>
    </row>
    <row r="270" spans="1:22" x14ac:dyDescent="0.3">
      <c r="A270" s="3" t="str">
        <f>INDEX(Mapping!$Y:$Y,MATCH($C270,Mapping!$W:$W,0))</f>
        <v>Metro</v>
      </c>
      <c r="B270" s="3" t="str">
        <f>INDEX(Mapping!$V:$V,MATCH(C270,Mapping!$W:$W,0))</f>
        <v>SWV</v>
      </c>
      <c r="C270" t="s">
        <v>176</v>
      </c>
      <c r="D270">
        <v>4</v>
      </c>
      <c r="E270" s="20"/>
      <c r="F270" s="76">
        <v>595.29613907418627</v>
      </c>
      <c r="G270" s="76">
        <v>628.36102688498079</v>
      </c>
      <c r="H270" s="76">
        <v>665.1425106124924</v>
      </c>
      <c r="I270" s="76">
        <v>798.38083687083088</v>
      </c>
      <c r="J270" s="76">
        <v>909.58762886597935</v>
      </c>
      <c r="K270" s="76">
        <v>1026.0400242571254</v>
      </c>
      <c r="L270" s="76">
        <v>1203.3414190418437</v>
      </c>
      <c r="M270" s="76">
        <v>1195.0344966642358</v>
      </c>
      <c r="N270" s="76">
        <v>1242.3385742890039</v>
      </c>
      <c r="O270" s="76">
        <v>1306.3645257328444</v>
      </c>
      <c r="P270" s="76">
        <v>1370.0990664236099</v>
      </c>
      <c r="Q270" s="76">
        <v>1420.4835914161965</v>
      </c>
      <c r="R270" s="76">
        <v>1471.4270617825334</v>
      </c>
      <c r="S270" s="76">
        <v>1517.1280203046861</v>
      </c>
      <c r="T270" s="76">
        <v>1558.958032338968</v>
      </c>
      <c r="U270" s="76">
        <v>1598.6980631278368</v>
      </c>
      <c r="V270" s="76">
        <v>1635.8361176349642</v>
      </c>
    </row>
    <row r="271" spans="1:22" x14ac:dyDescent="0.3">
      <c r="A271" s="3" t="str">
        <f>INDEX(Mapping!$Y:$Y,MATCH($C271,Mapping!$W:$W,0))</f>
        <v>Metro</v>
      </c>
      <c r="B271" s="3" t="str">
        <f>INDEX(Mapping!$V:$V,MATCH(C271,Mapping!$W:$W,0))</f>
        <v>SWV</v>
      </c>
      <c r="C271" t="s">
        <v>176</v>
      </c>
      <c r="D271">
        <v>5</v>
      </c>
      <c r="E271" s="20"/>
      <c r="F271" s="76">
        <v>290.92379219729128</v>
      </c>
      <c r="G271" s="76">
        <v>304.16818273701233</v>
      </c>
      <c r="H271" s="76">
        <v>329.97776430159695</v>
      </c>
      <c r="I271" s="76">
        <v>665.1425106124924</v>
      </c>
      <c r="J271" s="76">
        <v>798.38083687083088</v>
      </c>
      <c r="K271" s="76">
        <v>909.58762886597935</v>
      </c>
      <c r="L271" s="76">
        <v>1026.0400242571254</v>
      </c>
      <c r="M271" s="76">
        <v>1203.3414190418437</v>
      </c>
      <c r="N271" s="76">
        <v>1195.0344966642358</v>
      </c>
      <c r="O271" s="76">
        <v>1242.3385742890039</v>
      </c>
      <c r="P271" s="76">
        <v>1306.3645257328444</v>
      </c>
      <c r="Q271" s="76">
        <v>1370.0990664236099</v>
      </c>
      <c r="R271" s="76">
        <v>1420.4835914161965</v>
      </c>
      <c r="S271" s="76">
        <v>1471.4270617825334</v>
      </c>
      <c r="T271" s="76">
        <v>1517.1280203046861</v>
      </c>
      <c r="U271" s="76">
        <v>1558.958032338968</v>
      </c>
      <c r="V271" s="76">
        <v>1598.6980631278368</v>
      </c>
    </row>
    <row r="272" spans="1:22" x14ac:dyDescent="0.3">
      <c r="A272" s="3" t="str">
        <f>INDEX(Mapping!$Y:$Y,MATCH($C272,Mapping!$W:$W,0))</f>
        <v>Interface</v>
      </c>
      <c r="B272" s="3" t="str">
        <f>INDEX(Mapping!$V:$V,MATCH(C272,Mapping!$W:$W,0))</f>
        <v>SWV</v>
      </c>
      <c r="C272" t="s">
        <v>177</v>
      </c>
      <c r="D272">
        <v>0</v>
      </c>
      <c r="E272" s="20"/>
      <c r="F272" s="76">
        <v>1851.6873920552678</v>
      </c>
      <c r="G272" s="76">
        <v>1917.0630397236616</v>
      </c>
      <c r="H272" s="76">
        <v>1972.9436528497411</v>
      </c>
      <c r="I272" s="76">
        <v>2298.5498598780623</v>
      </c>
      <c r="J272" s="76">
        <v>2399.2812775868524</v>
      </c>
      <c r="K272" s="76">
        <v>2511.234762174181</v>
      </c>
      <c r="L272" s="76">
        <v>2633.3448497364557</v>
      </c>
      <c r="M272" s="76">
        <v>2757.4309591574256</v>
      </c>
      <c r="N272" s="76">
        <v>2890.7935738019751</v>
      </c>
      <c r="O272" s="76">
        <v>3027.2203453111574</v>
      </c>
      <c r="P272" s="76">
        <v>3169.5465999660041</v>
      </c>
      <c r="Q272" s="76">
        <v>3318.511267879237</v>
      </c>
      <c r="R272" s="76">
        <v>3471.8098112897301</v>
      </c>
      <c r="S272" s="76">
        <v>3627.2262587247596</v>
      </c>
      <c r="T272" s="76">
        <v>3784.3650514110245</v>
      </c>
      <c r="U272" s="76">
        <v>3940.8109029949492</v>
      </c>
      <c r="V272" s="76">
        <v>4095.6962537594304</v>
      </c>
    </row>
    <row r="273" spans="1:22" x14ac:dyDescent="0.3">
      <c r="A273" s="3" t="str">
        <f>INDEX(Mapping!$Y:$Y,MATCH($C273,Mapping!$W:$W,0))</f>
        <v>Interface</v>
      </c>
      <c r="B273" s="3" t="str">
        <f>INDEX(Mapping!$V:$V,MATCH(C273,Mapping!$W:$W,0))</f>
        <v>SWV</v>
      </c>
      <c r="C273" t="s">
        <v>177</v>
      </c>
      <c r="D273">
        <v>1</v>
      </c>
      <c r="E273" s="20"/>
      <c r="F273" s="76">
        <v>1872.2331606217617</v>
      </c>
      <c r="G273" s="76">
        <v>1938.3341968911918</v>
      </c>
      <c r="H273" s="76">
        <v>1994.8348445595855</v>
      </c>
      <c r="I273" s="76">
        <v>1972.9436528497411</v>
      </c>
      <c r="J273" s="76">
        <v>2298.5498598780623</v>
      </c>
      <c r="K273" s="76">
        <v>2399.2812775868524</v>
      </c>
      <c r="L273" s="76">
        <v>2511.234762174181</v>
      </c>
      <c r="M273" s="76">
        <v>2633.3448497364557</v>
      </c>
      <c r="N273" s="76">
        <v>2757.4309591574256</v>
      </c>
      <c r="O273" s="76">
        <v>2890.7935738019751</v>
      </c>
      <c r="P273" s="76">
        <v>3027.2203453111574</v>
      </c>
      <c r="Q273" s="76">
        <v>3169.5465999660041</v>
      </c>
      <c r="R273" s="76">
        <v>3318.511267879237</v>
      </c>
      <c r="S273" s="76">
        <v>3471.8098112897301</v>
      </c>
      <c r="T273" s="76">
        <v>3627.2262587247596</v>
      </c>
      <c r="U273" s="76">
        <v>3784.3650514110245</v>
      </c>
      <c r="V273" s="76">
        <v>3940.8109029949492</v>
      </c>
    </row>
    <row r="274" spans="1:22" x14ac:dyDescent="0.3">
      <c r="A274" s="3" t="str">
        <f>INDEX(Mapping!$Y:$Y,MATCH($C274,Mapping!$W:$W,0))</f>
        <v>Interface</v>
      </c>
      <c r="B274" s="3" t="str">
        <f>INDEX(Mapping!$V:$V,MATCH(C274,Mapping!$W:$W,0))</f>
        <v>SWV</v>
      </c>
      <c r="C274" t="s">
        <v>177</v>
      </c>
      <c r="D274">
        <v>2</v>
      </c>
      <c r="E274" s="20"/>
      <c r="F274" s="76">
        <v>1998.9320667818076</v>
      </c>
      <c r="G274" s="76">
        <v>2069.5063327576281</v>
      </c>
      <c r="H274" s="76">
        <v>2129.8305267702935</v>
      </c>
      <c r="I274" s="76">
        <v>1994.8348445595855</v>
      </c>
      <c r="J274" s="76">
        <v>1972.9436528497411</v>
      </c>
      <c r="K274" s="76">
        <v>2298.5498598780623</v>
      </c>
      <c r="L274" s="76">
        <v>2399.2812775868524</v>
      </c>
      <c r="M274" s="76">
        <v>2511.234762174181</v>
      </c>
      <c r="N274" s="76">
        <v>2633.3448497364557</v>
      </c>
      <c r="O274" s="76">
        <v>2757.4309591574256</v>
      </c>
      <c r="P274" s="76">
        <v>2890.7935738019751</v>
      </c>
      <c r="Q274" s="76">
        <v>3027.2203453111574</v>
      </c>
      <c r="R274" s="76">
        <v>3169.5465999660041</v>
      </c>
      <c r="S274" s="76">
        <v>3318.511267879237</v>
      </c>
      <c r="T274" s="76">
        <v>3471.8098112897301</v>
      </c>
      <c r="U274" s="76">
        <v>3627.2262587247596</v>
      </c>
      <c r="V274" s="76">
        <v>3784.3650514110245</v>
      </c>
    </row>
    <row r="275" spans="1:22" x14ac:dyDescent="0.3">
      <c r="A275" s="3" t="str">
        <f>INDEX(Mapping!$Y:$Y,MATCH($C275,Mapping!$W:$W,0))</f>
        <v>Interface</v>
      </c>
      <c r="B275" s="3" t="str">
        <f>INDEX(Mapping!$V:$V,MATCH(C275,Mapping!$W:$W,0))</f>
        <v>SWV</v>
      </c>
      <c r="C275" t="s">
        <v>177</v>
      </c>
      <c r="D275">
        <v>3</v>
      </c>
      <c r="E275" s="20"/>
      <c r="F275" s="76">
        <v>1986.9470351180196</v>
      </c>
      <c r="G275" s="76">
        <v>2057.0981577432353</v>
      </c>
      <c r="H275" s="76">
        <v>2117.0606649395509</v>
      </c>
      <c r="I275" s="76">
        <v>2129.8305267702935</v>
      </c>
      <c r="J275" s="76">
        <v>1994.8348445595855</v>
      </c>
      <c r="K275" s="76">
        <v>1972.9436528497411</v>
      </c>
      <c r="L275" s="76">
        <v>2298.5498598780623</v>
      </c>
      <c r="M275" s="76">
        <v>2399.2812775868524</v>
      </c>
      <c r="N275" s="76">
        <v>2511.234762174181</v>
      </c>
      <c r="O275" s="76">
        <v>2633.3448497364557</v>
      </c>
      <c r="P275" s="76">
        <v>2757.4309591574256</v>
      </c>
      <c r="Q275" s="76">
        <v>2890.7935738019751</v>
      </c>
      <c r="R275" s="76">
        <v>3027.2203453111574</v>
      </c>
      <c r="S275" s="76">
        <v>3169.5465999660041</v>
      </c>
      <c r="T275" s="76">
        <v>3318.511267879237</v>
      </c>
      <c r="U275" s="76">
        <v>3471.8098112897301</v>
      </c>
      <c r="V275" s="76">
        <v>3627.2262587247596</v>
      </c>
    </row>
    <row r="276" spans="1:22" x14ac:dyDescent="0.3">
      <c r="A276" s="3" t="str">
        <f>INDEX(Mapping!$Y:$Y,MATCH($C276,Mapping!$W:$W,0))</f>
        <v>Interface</v>
      </c>
      <c r="B276" s="3" t="str">
        <f>INDEX(Mapping!$V:$V,MATCH(C276,Mapping!$W:$W,0))</f>
        <v>SWV</v>
      </c>
      <c r="C276" t="s">
        <v>177</v>
      </c>
      <c r="D276">
        <v>4</v>
      </c>
      <c r="E276" s="20"/>
      <c r="F276" s="76">
        <v>2113.6459412780655</v>
      </c>
      <c r="G276" s="76">
        <v>2188.2702936096721</v>
      </c>
      <c r="H276" s="76">
        <v>2252.0563471502592</v>
      </c>
      <c r="I276" s="76">
        <v>2117.0606649395509</v>
      </c>
      <c r="J276" s="76">
        <v>2129.8305267702935</v>
      </c>
      <c r="K276" s="76">
        <v>1994.8348445595855</v>
      </c>
      <c r="L276" s="76">
        <v>1972.9436528497411</v>
      </c>
      <c r="M276" s="76">
        <v>2298.5498598780623</v>
      </c>
      <c r="N276" s="76">
        <v>2399.2812775868524</v>
      </c>
      <c r="O276" s="76">
        <v>2511.234762174181</v>
      </c>
      <c r="P276" s="76">
        <v>2633.3448497364557</v>
      </c>
      <c r="Q276" s="76">
        <v>2757.4309591574256</v>
      </c>
      <c r="R276" s="76">
        <v>2890.7935738019751</v>
      </c>
      <c r="S276" s="76">
        <v>3027.2203453111574</v>
      </c>
      <c r="T276" s="76">
        <v>3169.5465999660041</v>
      </c>
      <c r="U276" s="76">
        <v>3318.511267879237</v>
      </c>
      <c r="V276" s="76">
        <v>3471.8098112897301</v>
      </c>
    </row>
    <row r="277" spans="1:22" x14ac:dyDescent="0.3">
      <c r="A277" s="3" t="str">
        <f>INDEX(Mapping!$Y:$Y,MATCH($C277,Mapping!$W:$W,0))</f>
        <v>Interface</v>
      </c>
      <c r="B277" s="3" t="str">
        <f>INDEX(Mapping!$V:$V,MATCH(C277,Mapping!$W:$W,0))</f>
        <v>SWV</v>
      </c>
      <c r="C277" t="s">
        <v>177</v>
      </c>
      <c r="D277">
        <v>5</v>
      </c>
      <c r="E277" s="20"/>
      <c r="F277" s="76">
        <v>2030.3924870466321</v>
      </c>
      <c r="G277" s="76">
        <v>2148.1670984455959</v>
      </c>
      <c r="H277" s="76">
        <v>2249.7389896373056</v>
      </c>
      <c r="I277" s="76">
        <v>2252.0563471502592</v>
      </c>
      <c r="J277" s="76">
        <v>2117.0606649395509</v>
      </c>
      <c r="K277" s="76">
        <v>2129.8305267702935</v>
      </c>
      <c r="L277" s="76">
        <v>1994.8348445595855</v>
      </c>
      <c r="M277" s="76">
        <v>1972.9436528497411</v>
      </c>
      <c r="N277" s="76">
        <v>2298.5498598780623</v>
      </c>
      <c r="O277" s="76">
        <v>2399.2812775868524</v>
      </c>
      <c r="P277" s="76">
        <v>2511.234762174181</v>
      </c>
      <c r="Q277" s="76">
        <v>2633.3448497364557</v>
      </c>
      <c r="R277" s="76">
        <v>2757.4309591574256</v>
      </c>
      <c r="S277" s="76">
        <v>2890.7935738019751</v>
      </c>
      <c r="T277" s="76">
        <v>3027.2203453111574</v>
      </c>
      <c r="U277" s="76">
        <v>3169.5465999660041</v>
      </c>
      <c r="V277" s="76">
        <v>3318.511267879237</v>
      </c>
    </row>
    <row r="278" spans="1:22" x14ac:dyDescent="0.3">
      <c r="A278" s="3" t="str">
        <f>INDEX(Mapping!$Y:$Y,MATCH($C278,Mapping!$W:$W,0))</f>
        <v>Rural</v>
      </c>
      <c r="B278" s="3" t="str">
        <f>INDEX(Mapping!$V:$V,MATCH(C278,Mapping!$W:$W,0))</f>
        <v>NWV</v>
      </c>
      <c r="C278" t="s">
        <v>140</v>
      </c>
      <c r="D278">
        <v>0</v>
      </c>
      <c r="E278" s="20"/>
      <c r="F278" s="76">
        <v>561.62148719224069</v>
      </c>
      <c r="G278" s="76">
        <v>576.93111166376525</v>
      </c>
      <c r="H278" s="76">
        <v>584.5053469286247</v>
      </c>
      <c r="I278" s="76">
        <v>632.81388773697381</v>
      </c>
      <c r="J278" s="76">
        <v>637.18121641948642</v>
      </c>
      <c r="K278" s="76">
        <v>642.07004941677019</v>
      </c>
      <c r="L278" s="76">
        <v>646.99071903324159</v>
      </c>
      <c r="M278" s="76">
        <v>651.8005016794084</v>
      </c>
      <c r="N278" s="76">
        <v>656.7319324508893</v>
      </c>
      <c r="O278" s="76">
        <v>661.68630448272609</v>
      </c>
      <c r="P278" s="76">
        <v>666.45988883680013</v>
      </c>
      <c r="Q278" s="76">
        <v>671.26879761381122</v>
      </c>
      <c r="R278" s="76">
        <v>676.15939776804294</v>
      </c>
      <c r="S278" s="76">
        <v>681.11790130459542</v>
      </c>
      <c r="T278" s="76">
        <v>686.03936336555535</v>
      </c>
      <c r="U278" s="76">
        <v>690.97351957506169</v>
      </c>
      <c r="V278" s="76">
        <v>695.95475634893796</v>
      </c>
    </row>
    <row r="279" spans="1:22" x14ac:dyDescent="0.3">
      <c r="A279" s="3" t="str">
        <f>INDEX(Mapping!$Y:$Y,MATCH($C279,Mapping!$W:$W,0))</f>
        <v>Rural</v>
      </c>
      <c r="B279" s="3" t="str">
        <f>INDEX(Mapping!$V:$V,MATCH(C279,Mapping!$W:$W,0))</f>
        <v>NWV</v>
      </c>
      <c r="C279" t="s">
        <v>140</v>
      </c>
      <c r="D279">
        <v>1</v>
      </c>
      <c r="E279" s="20"/>
      <c r="F279" s="76">
        <v>566.82168614772445</v>
      </c>
      <c r="G279" s="76">
        <v>582.27306640139273</v>
      </c>
      <c r="H279" s="76">
        <v>589.91743347426006</v>
      </c>
      <c r="I279" s="76">
        <v>584.5053469286247</v>
      </c>
      <c r="J279" s="76">
        <v>632.81388773697381</v>
      </c>
      <c r="K279" s="76">
        <v>637.18121641948642</v>
      </c>
      <c r="L279" s="76">
        <v>642.07004941677019</v>
      </c>
      <c r="M279" s="76">
        <v>646.99071903324159</v>
      </c>
      <c r="N279" s="76">
        <v>651.8005016794084</v>
      </c>
      <c r="O279" s="76">
        <v>656.7319324508893</v>
      </c>
      <c r="P279" s="76">
        <v>661.68630448272609</v>
      </c>
      <c r="Q279" s="76">
        <v>666.45988883680013</v>
      </c>
      <c r="R279" s="76">
        <v>671.26879761381122</v>
      </c>
      <c r="S279" s="76">
        <v>676.15939776804294</v>
      </c>
      <c r="T279" s="76">
        <v>681.11790130459542</v>
      </c>
      <c r="U279" s="76">
        <v>686.03936336555535</v>
      </c>
      <c r="V279" s="76">
        <v>690.97351957506169</v>
      </c>
    </row>
    <row r="280" spans="1:22" x14ac:dyDescent="0.3">
      <c r="A280" s="3" t="str">
        <f>INDEX(Mapping!$Y:$Y,MATCH($C280,Mapping!$W:$W,0))</f>
        <v>Rural</v>
      </c>
      <c r="B280" s="3" t="str">
        <f>INDEX(Mapping!$V:$V,MATCH(C280,Mapping!$W:$W,0))</f>
        <v>NWV</v>
      </c>
      <c r="C280" t="s">
        <v>140</v>
      </c>
      <c r="D280">
        <v>2</v>
      </c>
      <c r="E280" s="20"/>
      <c r="F280" s="76">
        <v>610.15667744342204</v>
      </c>
      <c r="G280" s="76">
        <v>626.78935588162153</v>
      </c>
      <c r="H280" s="76">
        <v>635.01815468788857</v>
      </c>
      <c r="I280" s="76">
        <v>589.91743347426006</v>
      </c>
      <c r="J280" s="76">
        <v>584.5053469286247</v>
      </c>
      <c r="K280" s="76">
        <v>632.81388773697381</v>
      </c>
      <c r="L280" s="76">
        <v>637.18121641948642</v>
      </c>
      <c r="M280" s="76">
        <v>642.07004941677019</v>
      </c>
      <c r="N280" s="76">
        <v>646.99071903324159</v>
      </c>
      <c r="O280" s="76">
        <v>651.8005016794084</v>
      </c>
      <c r="P280" s="76">
        <v>656.7319324508893</v>
      </c>
      <c r="Q280" s="76">
        <v>661.68630448272609</v>
      </c>
      <c r="R280" s="76">
        <v>666.45988883680013</v>
      </c>
      <c r="S280" s="76">
        <v>671.26879761381122</v>
      </c>
      <c r="T280" s="76">
        <v>676.15939776804294</v>
      </c>
      <c r="U280" s="76">
        <v>681.11790130459542</v>
      </c>
      <c r="V280" s="76">
        <v>686.03936336555535</v>
      </c>
    </row>
    <row r="281" spans="1:22" x14ac:dyDescent="0.3">
      <c r="A281" s="3" t="str">
        <f>INDEX(Mapping!$Y:$Y,MATCH($C281,Mapping!$W:$W,0))</f>
        <v>Rural</v>
      </c>
      <c r="B281" s="3" t="str">
        <f>INDEX(Mapping!$V:$V,MATCH(C281,Mapping!$W:$W,0))</f>
        <v>NWV</v>
      </c>
      <c r="C281" t="s">
        <v>140</v>
      </c>
      <c r="D281">
        <v>3</v>
      </c>
      <c r="E281" s="20"/>
      <c r="F281" s="76">
        <v>553.82118875901517</v>
      </c>
      <c r="G281" s="76">
        <v>568.91817955732404</v>
      </c>
      <c r="H281" s="76">
        <v>576.3872171101716</v>
      </c>
      <c r="I281" s="76">
        <v>635.01815468788857</v>
      </c>
      <c r="J281" s="76">
        <v>589.91743347426006</v>
      </c>
      <c r="K281" s="76">
        <v>584.5053469286247</v>
      </c>
      <c r="L281" s="76">
        <v>632.81388773697381</v>
      </c>
      <c r="M281" s="76">
        <v>637.18121641948642</v>
      </c>
      <c r="N281" s="76">
        <v>642.07004941677019</v>
      </c>
      <c r="O281" s="76">
        <v>646.99071903324159</v>
      </c>
      <c r="P281" s="76">
        <v>651.8005016794084</v>
      </c>
      <c r="Q281" s="76">
        <v>656.7319324508893</v>
      </c>
      <c r="R281" s="76">
        <v>661.68630448272609</v>
      </c>
      <c r="S281" s="76">
        <v>666.45988883680013</v>
      </c>
      <c r="T281" s="76">
        <v>671.26879761381122</v>
      </c>
      <c r="U281" s="76">
        <v>676.15939776804294</v>
      </c>
      <c r="V281" s="76">
        <v>681.11790130459542</v>
      </c>
    </row>
    <row r="282" spans="1:22" x14ac:dyDescent="0.3">
      <c r="A282" s="3" t="str">
        <f>INDEX(Mapping!$Y:$Y,MATCH($C282,Mapping!$W:$W,0))</f>
        <v>Rural</v>
      </c>
      <c r="B282" s="3" t="str">
        <f>INDEX(Mapping!$V:$V,MATCH(C282,Mapping!$W:$W,0))</f>
        <v>NWV</v>
      </c>
      <c r="C282" t="s">
        <v>140</v>
      </c>
      <c r="D282">
        <v>4</v>
      </c>
      <c r="E282" s="20"/>
      <c r="F282" s="76">
        <v>621.42377518030344</v>
      </c>
      <c r="G282" s="76">
        <v>638.36359114648099</v>
      </c>
      <c r="H282" s="76">
        <v>646.74434220343198</v>
      </c>
      <c r="I282" s="76">
        <v>576.3872171101716</v>
      </c>
      <c r="J282" s="76">
        <v>635.01815468788857</v>
      </c>
      <c r="K282" s="76">
        <v>589.91743347426006</v>
      </c>
      <c r="L282" s="76">
        <v>584.5053469286247</v>
      </c>
      <c r="M282" s="76">
        <v>632.81388773697381</v>
      </c>
      <c r="N282" s="76">
        <v>637.18121641948642</v>
      </c>
      <c r="O282" s="76">
        <v>642.07004941677019</v>
      </c>
      <c r="P282" s="76">
        <v>646.99071903324159</v>
      </c>
      <c r="Q282" s="76">
        <v>651.8005016794084</v>
      </c>
      <c r="R282" s="76">
        <v>656.7319324508893</v>
      </c>
      <c r="S282" s="76">
        <v>661.68630448272609</v>
      </c>
      <c r="T282" s="76">
        <v>666.45988883680013</v>
      </c>
      <c r="U282" s="76">
        <v>671.26879761381122</v>
      </c>
      <c r="V282" s="76">
        <v>676.15939776804294</v>
      </c>
    </row>
    <row r="283" spans="1:22" x14ac:dyDescent="0.3">
      <c r="A283" s="3" t="str">
        <f>INDEX(Mapping!$Y:$Y,MATCH($C283,Mapping!$W:$W,0))</f>
        <v>Rural</v>
      </c>
      <c r="B283" s="3" t="str">
        <f>INDEX(Mapping!$V:$V,MATCH(C283,Mapping!$W:$W,0))</f>
        <v>NWV</v>
      </c>
      <c r="C283" t="s">
        <v>140</v>
      </c>
      <c r="D283">
        <v>5</v>
      </c>
      <c r="E283" s="20"/>
      <c r="F283" s="76">
        <v>599.34419298681917</v>
      </c>
      <c r="G283" s="76">
        <v>598.36085550858002</v>
      </c>
      <c r="H283" s="76">
        <v>588.85525988560062</v>
      </c>
      <c r="I283" s="76">
        <v>646.74434220343198</v>
      </c>
      <c r="J283" s="76">
        <v>576.3872171101716</v>
      </c>
      <c r="K283" s="76">
        <v>635.01815468788857</v>
      </c>
      <c r="L283" s="76">
        <v>589.91743347426006</v>
      </c>
      <c r="M283" s="76">
        <v>584.5053469286247</v>
      </c>
      <c r="N283" s="76">
        <v>632.81388773697381</v>
      </c>
      <c r="O283" s="76">
        <v>637.18121641948642</v>
      </c>
      <c r="P283" s="76">
        <v>642.07004941677019</v>
      </c>
      <c r="Q283" s="76">
        <v>646.99071903324159</v>
      </c>
      <c r="R283" s="76">
        <v>651.8005016794084</v>
      </c>
      <c r="S283" s="76">
        <v>656.7319324508893</v>
      </c>
      <c r="T283" s="76">
        <v>661.68630448272609</v>
      </c>
      <c r="U283" s="76">
        <v>666.45988883680013</v>
      </c>
      <c r="V283" s="76">
        <v>671.26879761381122</v>
      </c>
    </row>
    <row r="284" spans="1:22" x14ac:dyDescent="0.3">
      <c r="A284" s="3" t="str">
        <f>INDEX(Mapping!$Y:$Y,MATCH($C284,Mapping!$W:$W,0))</f>
        <v>Interface</v>
      </c>
      <c r="B284" s="3" t="str">
        <f>INDEX(Mapping!$V:$V,MATCH(C284,Mapping!$W:$W,0))</f>
        <v>NEV</v>
      </c>
      <c r="C284" t="s">
        <v>120</v>
      </c>
      <c r="D284">
        <v>0</v>
      </c>
      <c r="E284" s="20"/>
      <c r="F284" s="76">
        <v>432.13852813852816</v>
      </c>
      <c r="G284" s="76">
        <v>451.27272727272731</v>
      </c>
      <c r="H284" s="76">
        <v>447.00432900432907</v>
      </c>
      <c r="I284" s="76">
        <v>495.45115929660466</v>
      </c>
      <c r="J284" s="76">
        <v>514.33492377878304</v>
      </c>
      <c r="K284" s="76">
        <v>534.26395649621395</v>
      </c>
      <c r="L284" s="76">
        <v>557.76092291029954</v>
      </c>
      <c r="M284" s="76">
        <v>588.86075868858791</v>
      </c>
      <c r="N284" s="76">
        <v>623.89423057760007</v>
      </c>
      <c r="O284" s="76">
        <v>661.7289491677833</v>
      </c>
      <c r="P284" s="76">
        <v>702.02712226006429</v>
      </c>
      <c r="Q284" s="76">
        <v>744.16917680296569</v>
      </c>
      <c r="R284" s="76">
        <v>787.56345976642933</v>
      </c>
      <c r="S284" s="76">
        <v>831.24620623444252</v>
      </c>
      <c r="T284" s="76">
        <v>875.99410774096941</v>
      </c>
      <c r="U284" s="76">
        <v>920.96939003648458</v>
      </c>
      <c r="V284" s="76">
        <v>966.23416176201886</v>
      </c>
    </row>
    <row r="285" spans="1:22" x14ac:dyDescent="0.3">
      <c r="A285" s="3" t="str">
        <f>INDEX(Mapping!$Y:$Y,MATCH($C285,Mapping!$W:$W,0))</f>
        <v>Interface</v>
      </c>
      <c r="B285" s="3" t="str">
        <f>INDEX(Mapping!$V:$V,MATCH(C285,Mapping!$W:$W,0))</f>
        <v>NEV</v>
      </c>
      <c r="C285" t="s">
        <v>120</v>
      </c>
      <c r="D285">
        <v>1</v>
      </c>
      <c r="E285" s="20"/>
      <c r="F285" s="76">
        <v>485.52034632034628</v>
      </c>
      <c r="G285" s="76">
        <v>507.0181818181818</v>
      </c>
      <c r="H285" s="76">
        <v>502.2225108225108</v>
      </c>
      <c r="I285" s="76">
        <v>447.00432900432907</v>
      </c>
      <c r="J285" s="76">
        <v>495.45115929660466</v>
      </c>
      <c r="K285" s="76">
        <v>514.33492377878304</v>
      </c>
      <c r="L285" s="76">
        <v>534.26395649621395</v>
      </c>
      <c r="M285" s="76">
        <v>557.76092291029954</v>
      </c>
      <c r="N285" s="76">
        <v>588.86075868858791</v>
      </c>
      <c r="O285" s="76">
        <v>623.89423057760007</v>
      </c>
      <c r="P285" s="76">
        <v>661.7289491677833</v>
      </c>
      <c r="Q285" s="76">
        <v>702.02712226006429</v>
      </c>
      <c r="R285" s="76">
        <v>744.16917680296569</v>
      </c>
      <c r="S285" s="76">
        <v>787.56345976642933</v>
      </c>
      <c r="T285" s="76">
        <v>831.24620623444252</v>
      </c>
      <c r="U285" s="76">
        <v>875.99410774096941</v>
      </c>
      <c r="V285" s="76">
        <v>920.96939003648458</v>
      </c>
    </row>
    <row r="286" spans="1:22" x14ac:dyDescent="0.3">
      <c r="A286" s="3" t="str">
        <f>INDEX(Mapping!$Y:$Y,MATCH($C286,Mapping!$W:$W,0))</f>
        <v>Interface</v>
      </c>
      <c r="B286" s="3" t="str">
        <f>INDEX(Mapping!$V:$V,MATCH(C286,Mapping!$W:$W,0))</f>
        <v>NEV</v>
      </c>
      <c r="C286" t="s">
        <v>120</v>
      </c>
      <c r="D286">
        <v>2</v>
      </c>
      <c r="E286" s="20"/>
      <c r="F286" s="76">
        <v>494.84098124098125</v>
      </c>
      <c r="G286" s="76">
        <v>516.75151515151515</v>
      </c>
      <c r="H286" s="76">
        <v>511.86378066378069</v>
      </c>
      <c r="I286" s="76">
        <v>502.2225108225108</v>
      </c>
      <c r="J286" s="76">
        <v>447.00432900432907</v>
      </c>
      <c r="K286" s="76">
        <v>495.45115929660466</v>
      </c>
      <c r="L286" s="76">
        <v>514.33492377878304</v>
      </c>
      <c r="M286" s="76">
        <v>534.26395649621395</v>
      </c>
      <c r="N286" s="76">
        <v>557.76092291029954</v>
      </c>
      <c r="O286" s="76">
        <v>588.86075868858791</v>
      </c>
      <c r="P286" s="76">
        <v>623.89423057760007</v>
      </c>
      <c r="Q286" s="76">
        <v>661.7289491677833</v>
      </c>
      <c r="R286" s="76">
        <v>702.02712226006429</v>
      </c>
      <c r="S286" s="76">
        <v>744.16917680296569</v>
      </c>
      <c r="T286" s="76">
        <v>787.56345976642933</v>
      </c>
      <c r="U286" s="76">
        <v>831.24620623444252</v>
      </c>
      <c r="V286" s="76">
        <v>875.99410774096941</v>
      </c>
    </row>
    <row r="287" spans="1:22" x14ac:dyDescent="0.3">
      <c r="A287" s="3" t="str">
        <f>INDEX(Mapping!$Y:$Y,MATCH($C287,Mapping!$W:$W,0))</f>
        <v>Interface</v>
      </c>
      <c r="B287" s="3" t="str">
        <f>INDEX(Mapping!$V:$V,MATCH(C287,Mapping!$W:$W,0))</f>
        <v>NEV</v>
      </c>
      <c r="C287" t="s">
        <v>120</v>
      </c>
      <c r="D287">
        <v>3</v>
      </c>
      <c r="E287" s="20"/>
      <c r="F287" s="76">
        <v>503.31428571428575</v>
      </c>
      <c r="G287" s="76">
        <v>525.6</v>
      </c>
      <c r="H287" s="76">
        <v>520.62857142857138</v>
      </c>
      <c r="I287" s="76">
        <v>511.86378066378069</v>
      </c>
      <c r="J287" s="76">
        <v>502.2225108225108</v>
      </c>
      <c r="K287" s="76">
        <v>447.00432900432907</v>
      </c>
      <c r="L287" s="76">
        <v>495.45115929660466</v>
      </c>
      <c r="M287" s="76">
        <v>514.33492377878304</v>
      </c>
      <c r="N287" s="76">
        <v>534.26395649621395</v>
      </c>
      <c r="O287" s="76">
        <v>557.76092291029954</v>
      </c>
      <c r="P287" s="76">
        <v>588.86075868858791</v>
      </c>
      <c r="Q287" s="76">
        <v>623.89423057760007</v>
      </c>
      <c r="R287" s="76">
        <v>661.7289491677833</v>
      </c>
      <c r="S287" s="76">
        <v>702.02712226006429</v>
      </c>
      <c r="T287" s="76">
        <v>744.16917680296569</v>
      </c>
      <c r="U287" s="76">
        <v>787.56345976642933</v>
      </c>
      <c r="V287" s="76">
        <v>831.24620623444252</v>
      </c>
    </row>
    <row r="288" spans="1:22" x14ac:dyDescent="0.3">
      <c r="A288" s="3" t="str">
        <f>INDEX(Mapping!$Y:$Y,MATCH($C288,Mapping!$W:$W,0))</f>
        <v>Interface</v>
      </c>
      <c r="B288" s="3" t="str">
        <f>INDEX(Mapping!$V:$V,MATCH(C288,Mapping!$W:$W,0))</f>
        <v>NEV</v>
      </c>
      <c r="C288" t="s">
        <v>120</v>
      </c>
      <c r="D288">
        <v>4</v>
      </c>
      <c r="E288" s="20"/>
      <c r="F288" s="76">
        <v>504.16161616161617</v>
      </c>
      <c r="G288" s="76">
        <v>526.4848484848485</v>
      </c>
      <c r="H288" s="76">
        <v>521.50505050505046</v>
      </c>
      <c r="I288" s="76">
        <v>520.62857142857138</v>
      </c>
      <c r="J288" s="76">
        <v>511.86378066378069</v>
      </c>
      <c r="K288" s="76">
        <v>502.2225108225108</v>
      </c>
      <c r="L288" s="76">
        <v>447.00432900432907</v>
      </c>
      <c r="M288" s="76">
        <v>495.45115929660466</v>
      </c>
      <c r="N288" s="76">
        <v>514.33492377878304</v>
      </c>
      <c r="O288" s="76">
        <v>534.26395649621395</v>
      </c>
      <c r="P288" s="76">
        <v>557.76092291029954</v>
      </c>
      <c r="Q288" s="76">
        <v>588.86075868858791</v>
      </c>
      <c r="R288" s="76">
        <v>623.89423057760007</v>
      </c>
      <c r="S288" s="76">
        <v>661.7289491677833</v>
      </c>
      <c r="T288" s="76">
        <v>702.02712226006429</v>
      </c>
      <c r="U288" s="76">
        <v>744.16917680296569</v>
      </c>
      <c r="V288" s="76">
        <v>787.56345976642933</v>
      </c>
    </row>
    <row r="289" spans="1:22" x14ac:dyDescent="0.3">
      <c r="A289" s="3" t="str">
        <f>INDEX(Mapping!$Y:$Y,MATCH($C289,Mapping!$W:$W,0))</f>
        <v>Interface</v>
      </c>
      <c r="B289" s="3" t="str">
        <f>INDEX(Mapping!$V:$V,MATCH(C289,Mapping!$W:$W,0))</f>
        <v>NEV</v>
      </c>
      <c r="C289" t="s">
        <v>120</v>
      </c>
      <c r="D289">
        <v>5</v>
      </c>
      <c r="E289" s="20"/>
      <c r="F289" s="76">
        <v>504.95151515151514</v>
      </c>
      <c r="G289" s="76">
        <v>530.43636363636358</v>
      </c>
      <c r="H289" s="76">
        <v>543.26666666666665</v>
      </c>
      <c r="I289" s="76">
        <v>521.50505050505046</v>
      </c>
      <c r="J289" s="76">
        <v>520.62857142857138</v>
      </c>
      <c r="K289" s="76">
        <v>511.86378066378069</v>
      </c>
      <c r="L289" s="76">
        <v>502.2225108225108</v>
      </c>
      <c r="M289" s="76">
        <v>447.00432900432907</v>
      </c>
      <c r="N289" s="76">
        <v>495.45115929660466</v>
      </c>
      <c r="O289" s="76">
        <v>514.33492377878304</v>
      </c>
      <c r="P289" s="76">
        <v>534.26395649621395</v>
      </c>
      <c r="Q289" s="76">
        <v>557.76092291029954</v>
      </c>
      <c r="R289" s="76">
        <v>588.86075868858791</v>
      </c>
      <c r="S289" s="76">
        <v>623.89423057760007</v>
      </c>
      <c r="T289" s="76">
        <v>661.7289491677833</v>
      </c>
      <c r="U289" s="76">
        <v>702.02712226006429</v>
      </c>
      <c r="V289" s="76">
        <v>744.16917680296569</v>
      </c>
    </row>
    <row r="290" spans="1:22" x14ac:dyDescent="0.3">
      <c r="A290" s="3" t="str">
        <f>INDEX(Mapping!$Y:$Y,MATCH($C290,Mapping!$W:$W,0))</f>
        <v>Rural</v>
      </c>
      <c r="B290" s="3" t="str">
        <f>INDEX(Mapping!$V:$V,MATCH(C290,Mapping!$W:$W,0))</f>
        <v>NEV</v>
      </c>
      <c r="C290" t="s">
        <v>121</v>
      </c>
      <c r="D290">
        <v>0</v>
      </c>
      <c r="E290" s="20"/>
      <c r="F290" s="76">
        <v>268.8238341968912</v>
      </c>
      <c r="G290" s="76">
        <v>269.46010362694301</v>
      </c>
      <c r="H290" s="76">
        <v>267.86943005181348</v>
      </c>
      <c r="I290" s="76">
        <v>303.04579703735658</v>
      </c>
      <c r="J290" s="76">
        <v>305.08373208430237</v>
      </c>
      <c r="K290" s="76">
        <v>307.19239233684755</v>
      </c>
      <c r="L290" s="76">
        <v>309.45965411279775</v>
      </c>
      <c r="M290" s="76">
        <v>311.69312943616285</v>
      </c>
      <c r="N290" s="76">
        <v>313.94832743348326</v>
      </c>
      <c r="O290" s="76">
        <v>316.23252573121096</v>
      </c>
      <c r="P290" s="76">
        <v>318.46258380461882</v>
      </c>
      <c r="Q290" s="76">
        <v>320.69048513457494</v>
      </c>
      <c r="R290" s="76">
        <v>322.91101389719717</v>
      </c>
      <c r="S290" s="76">
        <v>325.10652634112961</v>
      </c>
      <c r="T290" s="76">
        <v>327.30077027250701</v>
      </c>
      <c r="U290" s="76">
        <v>329.49183825135071</v>
      </c>
      <c r="V290" s="76">
        <v>331.67549984326951</v>
      </c>
    </row>
    <row r="291" spans="1:22" x14ac:dyDescent="0.3">
      <c r="A291" s="3" t="str">
        <f>INDEX(Mapping!$Y:$Y,MATCH($C291,Mapping!$W:$W,0))</f>
        <v>Rural</v>
      </c>
      <c r="B291" s="3" t="str">
        <f>INDEX(Mapping!$V:$V,MATCH(C291,Mapping!$W:$W,0))</f>
        <v>NEV</v>
      </c>
      <c r="C291" t="s">
        <v>121</v>
      </c>
      <c r="D291">
        <v>1</v>
      </c>
      <c r="E291" s="20"/>
      <c r="F291" s="76">
        <v>265.32124352331607</v>
      </c>
      <c r="G291" s="76">
        <v>265.94922279792746</v>
      </c>
      <c r="H291" s="76">
        <v>264.37927461139901</v>
      </c>
      <c r="I291" s="76">
        <v>267.86943005181348</v>
      </c>
      <c r="J291" s="76">
        <v>303.04579703735658</v>
      </c>
      <c r="K291" s="76">
        <v>305.08373208430237</v>
      </c>
      <c r="L291" s="76">
        <v>307.19239233684755</v>
      </c>
      <c r="M291" s="76">
        <v>309.45965411279775</v>
      </c>
      <c r="N291" s="76">
        <v>311.69312943616285</v>
      </c>
      <c r="O291" s="76">
        <v>313.94832743348326</v>
      </c>
      <c r="P291" s="76">
        <v>316.23252573121096</v>
      </c>
      <c r="Q291" s="76">
        <v>318.46258380461882</v>
      </c>
      <c r="R291" s="76">
        <v>320.69048513457494</v>
      </c>
      <c r="S291" s="76">
        <v>322.91101389719717</v>
      </c>
      <c r="T291" s="76">
        <v>325.10652634112961</v>
      </c>
      <c r="U291" s="76">
        <v>327.30077027250701</v>
      </c>
      <c r="V291" s="76">
        <v>329.49183825135071</v>
      </c>
    </row>
    <row r="292" spans="1:22" x14ac:dyDescent="0.3">
      <c r="A292" s="3" t="str">
        <f>INDEX(Mapping!$Y:$Y,MATCH($C292,Mapping!$W:$W,0))</f>
        <v>Rural</v>
      </c>
      <c r="B292" s="3" t="str">
        <f>INDEX(Mapping!$V:$V,MATCH(C292,Mapping!$W:$W,0))</f>
        <v>NEV</v>
      </c>
      <c r="C292" t="s">
        <v>121</v>
      </c>
      <c r="D292">
        <v>2</v>
      </c>
      <c r="E292" s="20"/>
      <c r="F292" s="76">
        <v>290.71502590673572</v>
      </c>
      <c r="G292" s="76">
        <v>291.40310880829014</v>
      </c>
      <c r="H292" s="76">
        <v>289.68290155440411</v>
      </c>
      <c r="I292" s="76">
        <v>264.37927461139901</v>
      </c>
      <c r="J292" s="76">
        <v>267.86943005181348</v>
      </c>
      <c r="K292" s="76">
        <v>303.04579703735658</v>
      </c>
      <c r="L292" s="76">
        <v>305.08373208430237</v>
      </c>
      <c r="M292" s="76">
        <v>307.19239233684755</v>
      </c>
      <c r="N292" s="76">
        <v>309.45965411279775</v>
      </c>
      <c r="O292" s="76">
        <v>311.69312943616285</v>
      </c>
      <c r="P292" s="76">
        <v>313.94832743348326</v>
      </c>
      <c r="Q292" s="76">
        <v>316.23252573121096</v>
      </c>
      <c r="R292" s="76">
        <v>318.46258380461882</v>
      </c>
      <c r="S292" s="76">
        <v>320.69048513457494</v>
      </c>
      <c r="T292" s="76">
        <v>322.91101389719717</v>
      </c>
      <c r="U292" s="76">
        <v>325.10652634112961</v>
      </c>
      <c r="V292" s="76">
        <v>327.30077027250701</v>
      </c>
    </row>
    <row r="293" spans="1:22" x14ac:dyDescent="0.3">
      <c r="A293" s="3" t="str">
        <f>INDEX(Mapping!$Y:$Y,MATCH($C293,Mapping!$W:$W,0))</f>
        <v>Rural</v>
      </c>
      <c r="B293" s="3" t="str">
        <f>INDEX(Mapping!$V:$V,MATCH(C293,Mapping!$W:$W,0))</f>
        <v>NEV</v>
      </c>
      <c r="C293" t="s">
        <v>121</v>
      </c>
      <c r="D293">
        <v>3</v>
      </c>
      <c r="E293" s="20"/>
      <c r="F293" s="76">
        <v>286.33678756476684</v>
      </c>
      <c r="G293" s="76">
        <v>287.01450777202075</v>
      </c>
      <c r="H293" s="76">
        <v>285.320207253886</v>
      </c>
      <c r="I293" s="76">
        <v>289.68290155440411</v>
      </c>
      <c r="J293" s="76">
        <v>264.37927461139901</v>
      </c>
      <c r="K293" s="76">
        <v>267.86943005181348</v>
      </c>
      <c r="L293" s="76">
        <v>303.04579703735658</v>
      </c>
      <c r="M293" s="76">
        <v>305.08373208430237</v>
      </c>
      <c r="N293" s="76">
        <v>307.19239233684755</v>
      </c>
      <c r="O293" s="76">
        <v>309.45965411279775</v>
      </c>
      <c r="P293" s="76">
        <v>311.69312943616285</v>
      </c>
      <c r="Q293" s="76">
        <v>313.94832743348326</v>
      </c>
      <c r="R293" s="76">
        <v>316.23252573121096</v>
      </c>
      <c r="S293" s="76">
        <v>318.46258380461882</v>
      </c>
      <c r="T293" s="76">
        <v>320.69048513457494</v>
      </c>
      <c r="U293" s="76">
        <v>322.91101389719717</v>
      </c>
      <c r="V293" s="76">
        <v>325.10652634112961</v>
      </c>
    </row>
    <row r="294" spans="1:22" x14ac:dyDescent="0.3">
      <c r="A294" s="3" t="str">
        <f>INDEX(Mapping!$Y:$Y,MATCH($C294,Mapping!$W:$W,0))</f>
        <v>Rural</v>
      </c>
      <c r="B294" s="3" t="str">
        <f>INDEX(Mapping!$V:$V,MATCH(C294,Mapping!$W:$W,0))</f>
        <v>NEV</v>
      </c>
      <c r="C294" t="s">
        <v>121</v>
      </c>
      <c r="D294">
        <v>4</v>
      </c>
      <c r="E294" s="20"/>
      <c r="F294" s="76">
        <v>274.95336787564764</v>
      </c>
      <c r="G294" s="76">
        <v>275.6041450777202</v>
      </c>
      <c r="H294" s="76">
        <v>273.97720207253889</v>
      </c>
      <c r="I294" s="76">
        <v>285.320207253886</v>
      </c>
      <c r="J294" s="76">
        <v>289.68290155440411</v>
      </c>
      <c r="K294" s="76">
        <v>264.37927461139901</v>
      </c>
      <c r="L294" s="76">
        <v>267.86943005181348</v>
      </c>
      <c r="M294" s="76">
        <v>303.04579703735658</v>
      </c>
      <c r="N294" s="76">
        <v>305.08373208430237</v>
      </c>
      <c r="O294" s="76">
        <v>307.19239233684755</v>
      </c>
      <c r="P294" s="76">
        <v>309.45965411279775</v>
      </c>
      <c r="Q294" s="76">
        <v>311.69312943616285</v>
      </c>
      <c r="R294" s="76">
        <v>313.94832743348326</v>
      </c>
      <c r="S294" s="76">
        <v>316.23252573121096</v>
      </c>
      <c r="T294" s="76">
        <v>318.46258380461882</v>
      </c>
      <c r="U294" s="76">
        <v>320.69048513457494</v>
      </c>
      <c r="V294" s="76">
        <v>322.91101389719717</v>
      </c>
    </row>
    <row r="295" spans="1:22" x14ac:dyDescent="0.3">
      <c r="A295" s="3" t="str">
        <f>INDEX(Mapping!$Y:$Y,MATCH($C295,Mapping!$W:$W,0))</f>
        <v>Rural</v>
      </c>
      <c r="B295" s="3" t="str">
        <f>INDEX(Mapping!$V:$V,MATCH(C295,Mapping!$W:$W,0))</f>
        <v>NEV</v>
      </c>
      <c r="C295" t="s">
        <v>121</v>
      </c>
      <c r="D295">
        <v>5</v>
      </c>
      <c r="E295" s="20"/>
      <c r="F295" s="76">
        <v>327.04300518134716</v>
      </c>
      <c r="G295" s="76">
        <v>330.99844559585489</v>
      </c>
      <c r="H295" s="76">
        <v>323.26735751295337</v>
      </c>
      <c r="I295" s="76">
        <v>273.97720207253889</v>
      </c>
      <c r="J295" s="76">
        <v>285.320207253886</v>
      </c>
      <c r="K295" s="76">
        <v>289.68290155440411</v>
      </c>
      <c r="L295" s="76">
        <v>264.37927461139901</v>
      </c>
      <c r="M295" s="76">
        <v>267.86943005181348</v>
      </c>
      <c r="N295" s="76">
        <v>303.04579703735658</v>
      </c>
      <c r="O295" s="76">
        <v>305.08373208430237</v>
      </c>
      <c r="P295" s="76">
        <v>307.19239233684755</v>
      </c>
      <c r="Q295" s="76">
        <v>309.45965411279775</v>
      </c>
      <c r="R295" s="76">
        <v>311.69312943616285</v>
      </c>
      <c r="S295" s="76">
        <v>313.94832743348326</v>
      </c>
      <c r="T295" s="76">
        <v>316.23252573121096</v>
      </c>
      <c r="U295" s="76">
        <v>318.46258380461882</v>
      </c>
      <c r="V295" s="76">
        <v>320.69048513457494</v>
      </c>
    </row>
    <row r="296" spans="1:22" x14ac:dyDescent="0.3">
      <c r="A296" s="3" t="str">
        <f>INDEX(Mapping!$Y:$Y,MATCH($C296,Mapping!$W:$W,0))</f>
        <v>Metro</v>
      </c>
      <c r="B296" s="3" t="str">
        <f>INDEX(Mapping!$V:$V,MATCH(C296,Mapping!$W:$W,0))</f>
        <v>NEV</v>
      </c>
      <c r="C296" t="s">
        <v>122</v>
      </c>
      <c r="D296">
        <v>0</v>
      </c>
      <c r="E296" s="20"/>
      <c r="F296" s="76">
        <v>1434.8394963199432</v>
      </c>
      <c r="G296" s="76">
        <v>1462.1929591203334</v>
      </c>
      <c r="H296" s="76">
        <v>1441.2840294404541</v>
      </c>
      <c r="I296" s="76">
        <v>1672.5331968520213</v>
      </c>
      <c r="J296" s="76">
        <v>1690.0988053065814</v>
      </c>
      <c r="K296" s="76">
        <v>1707.1462854088531</v>
      </c>
      <c r="L296" s="76">
        <v>1722.2292152685661</v>
      </c>
      <c r="M296" s="76">
        <v>1736.6718619437809</v>
      </c>
      <c r="N296" s="76">
        <v>1749.9712225089709</v>
      </c>
      <c r="O296" s="76">
        <v>1763.2572413979162</v>
      </c>
      <c r="P296" s="76">
        <v>1775.7855286096622</v>
      </c>
      <c r="Q296" s="76">
        <v>1788.8592177747366</v>
      </c>
      <c r="R296" s="76">
        <v>1802.577038375262</v>
      </c>
      <c r="S296" s="76">
        <v>1816.7796987750455</v>
      </c>
      <c r="T296" s="76">
        <v>1831.1539240718193</v>
      </c>
      <c r="U296" s="76">
        <v>1845.9775592097862</v>
      </c>
      <c r="V296" s="76">
        <v>1861.4611249891991</v>
      </c>
    </row>
    <row r="297" spans="1:22" x14ac:dyDescent="0.3">
      <c r="A297" s="3" t="str">
        <f>INDEX(Mapping!$Y:$Y,MATCH($C297,Mapping!$W:$W,0))</f>
        <v>Metro</v>
      </c>
      <c r="B297" s="3" t="str">
        <f>INDEX(Mapping!$V:$V,MATCH(C297,Mapping!$W:$W,0))</f>
        <v>NEV</v>
      </c>
      <c r="C297" t="s">
        <v>122</v>
      </c>
      <c r="D297">
        <v>1</v>
      </c>
      <c r="E297" s="20"/>
      <c r="F297" s="76">
        <v>1661.3931010020394</v>
      </c>
      <c r="G297" s="76">
        <v>1693.0655316130176</v>
      </c>
      <c r="H297" s="76">
        <v>1668.8551919836837</v>
      </c>
      <c r="I297" s="76">
        <v>1441.2840294404541</v>
      </c>
      <c r="J297" s="76">
        <v>1672.5331968520213</v>
      </c>
      <c r="K297" s="76">
        <v>1690.0988053065814</v>
      </c>
      <c r="L297" s="76">
        <v>1707.1462854088531</v>
      </c>
      <c r="M297" s="76">
        <v>1722.2292152685661</v>
      </c>
      <c r="N297" s="76">
        <v>1736.6718619437809</v>
      </c>
      <c r="O297" s="76">
        <v>1749.9712225089709</v>
      </c>
      <c r="P297" s="76">
        <v>1763.2572413979162</v>
      </c>
      <c r="Q297" s="76">
        <v>1775.7855286096622</v>
      </c>
      <c r="R297" s="76">
        <v>1788.8592177747366</v>
      </c>
      <c r="S297" s="76">
        <v>1802.577038375262</v>
      </c>
      <c r="T297" s="76">
        <v>1816.7796987750455</v>
      </c>
      <c r="U297" s="76">
        <v>1831.1539240718193</v>
      </c>
      <c r="V297" s="76">
        <v>1845.9775592097862</v>
      </c>
    </row>
    <row r="298" spans="1:22" x14ac:dyDescent="0.3">
      <c r="A298" s="3" t="str">
        <f>INDEX(Mapping!$Y:$Y,MATCH($C298,Mapping!$W:$W,0))</f>
        <v>Metro</v>
      </c>
      <c r="B298" s="3" t="str">
        <f>INDEX(Mapping!$V:$V,MATCH(C298,Mapping!$W:$W,0))</f>
        <v>NEV</v>
      </c>
      <c r="C298" t="s">
        <v>122</v>
      </c>
      <c r="D298">
        <v>2</v>
      </c>
      <c r="E298" s="20"/>
      <c r="F298" s="76">
        <v>1643.6241908308948</v>
      </c>
      <c r="G298" s="76">
        <v>1674.9578788684935</v>
      </c>
      <c r="H298" s="76">
        <v>1651.006473352842</v>
      </c>
      <c r="I298" s="76">
        <v>1668.8551919836837</v>
      </c>
      <c r="J298" s="76">
        <v>1441.2840294404541</v>
      </c>
      <c r="K298" s="76">
        <v>1672.5331968520213</v>
      </c>
      <c r="L298" s="76">
        <v>1690.0988053065814</v>
      </c>
      <c r="M298" s="76">
        <v>1707.1462854088531</v>
      </c>
      <c r="N298" s="76">
        <v>1722.2292152685661</v>
      </c>
      <c r="O298" s="76">
        <v>1736.6718619437809</v>
      </c>
      <c r="P298" s="76">
        <v>1749.9712225089709</v>
      </c>
      <c r="Q298" s="76">
        <v>1763.2572413979162</v>
      </c>
      <c r="R298" s="76">
        <v>1775.7855286096622</v>
      </c>
      <c r="S298" s="76">
        <v>1788.8592177747366</v>
      </c>
      <c r="T298" s="76">
        <v>1802.577038375262</v>
      </c>
      <c r="U298" s="76">
        <v>1816.7796987750455</v>
      </c>
      <c r="V298" s="76">
        <v>1831.1539240718193</v>
      </c>
    </row>
    <row r="299" spans="1:22" x14ac:dyDescent="0.3">
      <c r="A299" s="3" t="str">
        <f>INDEX(Mapping!$Y:$Y,MATCH($C299,Mapping!$W:$W,0))</f>
        <v>Metro</v>
      </c>
      <c r="B299" s="3" t="str">
        <f>INDEX(Mapping!$V:$V,MATCH(C299,Mapping!$W:$W,0))</f>
        <v>NEV</v>
      </c>
      <c r="C299" t="s">
        <v>122</v>
      </c>
      <c r="D299">
        <v>3</v>
      </c>
      <c r="E299" s="20"/>
      <c r="F299" s="76">
        <v>1746.6838698235347</v>
      </c>
      <c r="G299" s="76">
        <v>1779.982264786734</v>
      </c>
      <c r="H299" s="76">
        <v>1754.529041411723</v>
      </c>
      <c r="I299" s="76">
        <v>1651.006473352842</v>
      </c>
      <c r="J299" s="76">
        <v>1668.8551919836837</v>
      </c>
      <c r="K299" s="76">
        <v>1441.2840294404541</v>
      </c>
      <c r="L299" s="76">
        <v>1672.5331968520213</v>
      </c>
      <c r="M299" s="76">
        <v>1690.0988053065814</v>
      </c>
      <c r="N299" s="76">
        <v>1707.1462854088531</v>
      </c>
      <c r="O299" s="76">
        <v>1722.2292152685661</v>
      </c>
      <c r="P299" s="76">
        <v>1736.6718619437809</v>
      </c>
      <c r="Q299" s="76">
        <v>1749.9712225089709</v>
      </c>
      <c r="R299" s="76">
        <v>1763.2572413979162</v>
      </c>
      <c r="S299" s="76">
        <v>1775.7855286096622</v>
      </c>
      <c r="T299" s="76">
        <v>1788.8592177747366</v>
      </c>
      <c r="U299" s="76">
        <v>1802.577038375262</v>
      </c>
      <c r="V299" s="76">
        <v>1816.7796987750455</v>
      </c>
    </row>
    <row r="300" spans="1:22" x14ac:dyDescent="0.3">
      <c r="A300" s="3" t="str">
        <f>INDEX(Mapping!$Y:$Y,MATCH($C300,Mapping!$W:$W,0))</f>
        <v>Metro</v>
      </c>
      <c r="B300" s="3" t="str">
        <f>INDEX(Mapping!$V:$V,MATCH(C300,Mapping!$W:$W,0))</f>
        <v>NEV</v>
      </c>
      <c r="C300" t="s">
        <v>122</v>
      </c>
      <c r="D300">
        <v>4</v>
      </c>
      <c r="E300" s="20"/>
      <c r="F300" s="76">
        <v>1761.7874434690077</v>
      </c>
      <c r="G300" s="76">
        <v>1795.3737696195797</v>
      </c>
      <c r="H300" s="76">
        <v>1769.7004522479381</v>
      </c>
      <c r="I300" s="76">
        <v>1754.529041411723</v>
      </c>
      <c r="J300" s="76">
        <v>1651.006473352842</v>
      </c>
      <c r="K300" s="76">
        <v>1668.8551919836837</v>
      </c>
      <c r="L300" s="76">
        <v>1441.2840294404541</v>
      </c>
      <c r="M300" s="76">
        <v>1672.5331968520213</v>
      </c>
      <c r="N300" s="76">
        <v>1690.0988053065814</v>
      </c>
      <c r="O300" s="76">
        <v>1707.1462854088531</v>
      </c>
      <c r="P300" s="76">
        <v>1722.2292152685661</v>
      </c>
      <c r="Q300" s="76">
        <v>1736.6718619437809</v>
      </c>
      <c r="R300" s="76">
        <v>1749.9712225089709</v>
      </c>
      <c r="S300" s="76">
        <v>1763.2572413979162</v>
      </c>
      <c r="T300" s="76">
        <v>1775.7855286096622</v>
      </c>
      <c r="U300" s="76">
        <v>1788.8592177747366</v>
      </c>
      <c r="V300" s="76">
        <v>1802.577038375262</v>
      </c>
    </row>
    <row r="301" spans="1:22" x14ac:dyDescent="0.3">
      <c r="A301" s="3" t="str">
        <f>INDEX(Mapping!$Y:$Y,MATCH($C301,Mapping!$W:$W,0))</f>
        <v>Metro</v>
      </c>
      <c r="B301" s="3" t="str">
        <f>INDEX(Mapping!$V:$V,MATCH(C301,Mapping!$W:$W,0))</f>
        <v>NEV</v>
      </c>
      <c r="C301" t="s">
        <v>122</v>
      </c>
      <c r="D301">
        <v>5</v>
      </c>
      <c r="E301" s="20"/>
      <c r="F301" s="76">
        <v>1791.3494723774054</v>
      </c>
      <c r="G301" s="76">
        <v>1860.8049126540748</v>
      </c>
      <c r="H301" s="76">
        <v>1933.9717123348407</v>
      </c>
      <c r="I301" s="76">
        <v>1769.7004522479381</v>
      </c>
      <c r="J301" s="76">
        <v>1754.529041411723</v>
      </c>
      <c r="K301" s="76">
        <v>1651.006473352842</v>
      </c>
      <c r="L301" s="76">
        <v>1668.8551919836837</v>
      </c>
      <c r="M301" s="76">
        <v>1441.2840294404541</v>
      </c>
      <c r="N301" s="76">
        <v>1672.5331968520213</v>
      </c>
      <c r="O301" s="76">
        <v>1690.0988053065814</v>
      </c>
      <c r="P301" s="76">
        <v>1707.1462854088531</v>
      </c>
      <c r="Q301" s="76">
        <v>1722.2292152685661</v>
      </c>
      <c r="R301" s="76">
        <v>1736.6718619437809</v>
      </c>
      <c r="S301" s="76">
        <v>1749.9712225089709</v>
      </c>
      <c r="T301" s="76">
        <v>1763.2572413979162</v>
      </c>
      <c r="U301" s="76">
        <v>1775.7855286096622</v>
      </c>
      <c r="V301" s="76">
        <v>1788.8592177747366</v>
      </c>
    </row>
    <row r="302" spans="1:22" x14ac:dyDescent="0.3">
      <c r="A302" s="3" t="str">
        <f>INDEX(Mapping!$Y:$Y,MATCH($C302,Mapping!$W:$W,0))</f>
        <v>Metro</v>
      </c>
      <c r="B302" s="3" t="str">
        <f>INDEX(Mapping!$V:$V,MATCH(C302,Mapping!$W:$W,0))</f>
        <v>SWV</v>
      </c>
      <c r="C302" t="s">
        <v>178</v>
      </c>
      <c r="D302">
        <v>0</v>
      </c>
      <c r="E302" s="20"/>
      <c r="F302" s="76">
        <v>1203.9959421760082</v>
      </c>
      <c r="G302" s="76">
        <v>1240.4494040071013</v>
      </c>
      <c r="H302" s="76">
        <v>1278.7943190464114</v>
      </c>
      <c r="I302" s="76">
        <v>1445.0186352942453</v>
      </c>
      <c r="J302" s="76">
        <v>1461.8890224165928</v>
      </c>
      <c r="K302" s="76">
        <v>1477.8157742334652</v>
      </c>
      <c r="L302" s="76">
        <v>1492.7497597292306</v>
      </c>
      <c r="M302" s="76">
        <v>1511.8539297587338</v>
      </c>
      <c r="N302" s="76">
        <v>1530.2312306299646</v>
      </c>
      <c r="O302" s="76">
        <v>1549.6477831994966</v>
      </c>
      <c r="P302" s="76">
        <v>1568.8921892889346</v>
      </c>
      <c r="Q302" s="76">
        <v>1588.3518345603952</v>
      </c>
      <c r="R302" s="76">
        <v>1606.7063156060692</v>
      </c>
      <c r="S302" s="76">
        <v>1625.4876476726913</v>
      </c>
      <c r="T302" s="76">
        <v>1644.2623577867935</v>
      </c>
      <c r="U302" s="76">
        <v>1663.4769950411796</v>
      </c>
      <c r="V302" s="76">
        <v>1683.0321587710071</v>
      </c>
    </row>
    <row r="303" spans="1:22" x14ac:dyDescent="0.3">
      <c r="A303" s="3" t="str">
        <f>INDEX(Mapping!$Y:$Y,MATCH($C303,Mapping!$W:$W,0))</f>
        <v>Metro</v>
      </c>
      <c r="B303" s="3" t="str">
        <f>INDEX(Mapping!$V:$V,MATCH(C303,Mapping!$W:$W,0))</f>
        <v>SWV</v>
      </c>
      <c r="C303" t="s">
        <v>178</v>
      </c>
      <c r="D303">
        <v>1</v>
      </c>
      <c r="E303" s="20"/>
      <c r="F303" s="76">
        <v>1180.910474258179</v>
      </c>
      <c r="G303" s="76">
        <v>1216.66497590667</v>
      </c>
      <c r="H303" s="76">
        <v>1254.2746639614506</v>
      </c>
      <c r="I303" s="76">
        <v>1278.7943190464114</v>
      </c>
      <c r="J303" s="76">
        <v>1445.0186352942453</v>
      </c>
      <c r="K303" s="76">
        <v>1461.8890224165928</v>
      </c>
      <c r="L303" s="76">
        <v>1477.8157742334652</v>
      </c>
      <c r="M303" s="76">
        <v>1492.7497597292306</v>
      </c>
      <c r="N303" s="76">
        <v>1511.8539297587338</v>
      </c>
      <c r="O303" s="76">
        <v>1530.2312306299646</v>
      </c>
      <c r="P303" s="76">
        <v>1549.6477831994966</v>
      </c>
      <c r="Q303" s="76">
        <v>1568.8921892889346</v>
      </c>
      <c r="R303" s="76">
        <v>1588.3518345603952</v>
      </c>
      <c r="S303" s="76">
        <v>1606.7063156060692</v>
      </c>
      <c r="T303" s="76">
        <v>1625.4876476726913</v>
      </c>
      <c r="U303" s="76">
        <v>1644.2623577867935</v>
      </c>
      <c r="V303" s="76">
        <v>1663.4769950411796</v>
      </c>
    </row>
    <row r="304" spans="1:22" x14ac:dyDescent="0.3">
      <c r="A304" s="3" t="str">
        <f>INDEX(Mapping!$Y:$Y,MATCH($C304,Mapping!$W:$W,0))</f>
        <v>Metro</v>
      </c>
      <c r="B304" s="3" t="str">
        <f>INDEX(Mapping!$V:$V,MATCH(C304,Mapping!$W:$W,0))</f>
        <v>SWV</v>
      </c>
      <c r="C304" t="s">
        <v>178</v>
      </c>
      <c r="D304">
        <v>2</v>
      </c>
      <c r="E304" s="20"/>
      <c r="F304" s="76">
        <v>1151.6096880547805</v>
      </c>
      <c r="G304" s="76">
        <v>1186.4770479330457</v>
      </c>
      <c r="H304" s="76">
        <v>1223.1535632766927</v>
      </c>
      <c r="I304" s="76">
        <v>1254.2746639614506</v>
      </c>
      <c r="J304" s="76">
        <v>1278.7943190464114</v>
      </c>
      <c r="K304" s="76">
        <v>1445.0186352942453</v>
      </c>
      <c r="L304" s="76">
        <v>1461.8890224165928</v>
      </c>
      <c r="M304" s="76">
        <v>1477.8157742334652</v>
      </c>
      <c r="N304" s="76">
        <v>1492.7497597292306</v>
      </c>
      <c r="O304" s="76">
        <v>1511.8539297587338</v>
      </c>
      <c r="P304" s="76">
        <v>1530.2312306299646</v>
      </c>
      <c r="Q304" s="76">
        <v>1549.6477831994966</v>
      </c>
      <c r="R304" s="76">
        <v>1568.8921892889346</v>
      </c>
      <c r="S304" s="76">
        <v>1588.3518345603952</v>
      </c>
      <c r="T304" s="76">
        <v>1606.7063156060692</v>
      </c>
      <c r="U304" s="76">
        <v>1625.4876476726913</v>
      </c>
      <c r="V304" s="76">
        <v>1644.2623577867935</v>
      </c>
    </row>
    <row r="305" spans="1:22" x14ac:dyDescent="0.3">
      <c r="A305" s="3" t="str">
        <f>INDEX(Mapping!$Y:$Y,MATCH($C305,Mapping!$W:$W,0))</f>
        <v>Metro</v>
      </c>
      <c r="B305" s="3" t="str">
        <f>INDEX(Mapping!$V:$V,MATCH(C305,Mapping!$W:$W,0))</f>
        <v>SWV</v>
      </c>
      <c r="C305" t="s">
        <v>178</v>
      </c>
      <c r="D305">
        <v>3</v>
      </c>
      <c r="E305" s="20"/>
      <c r="F305" s="76">
        <v>1180.0225716459549</v>
      </c>
      <c r="G305" s="76">
        <v>1215.7501902104996</v>
      </c>
      <c r="H305" s="76">
        <v>1253.3316003043369</v>
      </c>
      <c r="I305" s="76">
        <v>1223.1535632766927</v>
      </c>
      <c r="J305" s="76">
        <v>1254.2746639614506</v>
      </c>
      <c r="K305" s="76">
        <v>1278.7943190464114</v>
      </c>
      <c r="L305" s="76">
        <v>1445.0186352942453</v>
      </c>
      <c r="M305" s="76">
        <v>1461.8890224165928</v>
      </c>
      <c r="N305" s="76">
        <v>1477.8157742334652</v>
      </c>
      <c r="O305" s="76">
        <v>1492.7497597292306</v>
      </c>
      <c r="P305" s="76">
        <v>1511.8539297587338</v>
      </c>
      <c r="Q305" s="76">
        <v>1530.2312306299646</v>
      </c>
      <c r="R305" s="76">
        <v>1549.6477831994966</v>
      </c>
      <c r="S305" s="76">
        <v>1568.8921892889346</v>
      </c>
      <c r="T305" s="76">
        <v>1588.3518345603952</v>
      </c>
      <c r="U305" s="76">
        <v>1606.7063156060692</v>
      </c>
      <c r="V305" s="76">
        <v>1625.4876476726913</v>
      </c>
    </row>
    <row r="306" spans="1:22" x14ac:dyDescent="0.3">
      <c r="A306" s="3" t="str">
        <f>INDEX(Mapping!$Y:$Y,MATCH($C306,Mapping!$W:$W,0))</f>
        <v>Metro</v>
      </c>
      <c r="B306" s="3" t="str">
        <f>INDEX(Mapping!$V:$V,MATCH(C306,Mapping!$W:$W,0))</f>
        <v>SWV</v>
      </c>
      <c r="C306" t="s">
        <v>178</v>
      </c>
      <c r="D306">
        <v>4</v>
      </c>
      <c r="E306" s="20"/>
      <c r="F306" s="76">
        <v>1154.2733958914532</v>
      </c>
      <c r="G306" s="76">
        <v>1189.2214050215573</v>
      </c>
      <c r="H306" s="76">
        <v>1225.9827542480346</v>
      </c>
      <c r="I306" s="76">
        <v>1253.3316003043369</v>
      </c>
      <c r="J306" s="76">
        <v>1223.1535632766927</v>
      </c>
      <c r="K306" s="76">
        <v>1254.2746639614506</v>
      </c>
      <c r="L306" s="76">
        <v>1278.7943190464114</v>
      </c>
      <c r="M306" s="76">
        <v>1445.0186352942453</v>
      </c>
      <c r="N306" s="76">
        <v>1461.8890224165928</v>
      </c>
      <c r="O306" s="76">
        <v>1477.8157742334652</v>
      </c>
      <c r="P306" s="76">
        <v>1492.7497597292306</v>
      </c>
      <c r="Q306" s="76">
        <v>1511.8539297587338</v>
      </c>
      <c r="R306" s="76">
        <v>1530.2312306299646</v>
      </c>
      <c r="S306" s="76">
        <v>1549.6477831994966</v>
      </c>
      <c r="T306" s="76">
        <v>1568.8921892889346</v>
      </c>
      <c r="U306" s="76">
        <v>1588.3518345603952</v>
      </c>
      <c r="V306" s="76">
        <v>1606.7063156060692</v>
      </c>
    </row>
    <row r="307" spans="1:22" x14ac:dyDescent="0.3">
      <c r="A307" s="3" t="str">
        <f>INDEX(Mapping!$Y:$Y,MATCH($C307,Mapping!$W:$W,0))</f>
        <v>Metro</v>
      </c>
      <c r="B307" s="3" t="str">
        <f>INDEX(Mapping!$V:$V,MATCH(C307,Mapping!$W:$W,0))</f>
        <v>SWV</v>
      </c>
      <c r="C307" t="s">
        <v>178</v>
      </c>
      <c r="D307">
        <v>5</v>
      </c>
      <c r="E307" s="20"/>
      <c r="F307" s="76">
        <v>1115.5173725589652</v>
      </c>
      <c r="G307" s="76">
        <v>1137.8115647983768</v>
      </c>
      <c r="H307" s="76">
        <v>1148.7971088004058</v>
      </c>
      <c r="I307" s="76">
        <v>1225.9827542480346</v>
      </c>
      <c r="J307" s="76">
        <v>1253.3316003043369</v>
      </c>
      <c r="K307" s="76">
        <v>1223.1535632766927</v>
      </c>
      <c r="L307" s="76">
        <v>1254.2746639614506</v>
      </c>
      <c r="M307" s="76">
        <v>1278.7943190464114</v>
      </c>
      <c r="N307" s="76">
        <v>1445.0186352942453</v>
      </c>
      <c r="O307" s="76">
        <v>1461.8890224165928</v>
      </c>
      <c r="P307" s="76">
        <v>1477.8157742334652</v>
      </c>
      <c r="Q307" s="76">
        <v>1492.7497597292306</v>
      </c>
      <c r="R307" s="76">
        <v>1511.8539297587338</v>
      </c>
      <c r="S307" s="76">
        <v>1530.2312306299646</v>
      </c>
      <c r="T307" s="76">
        <v>1549.6477831994966</v>
      </c>
      <c r="U307" s="76">
        <v>1568.8921892889346</v>
      </c>
      <c r="V307" s="76">
        <v>1588.3518345603952</v>
      </c>
    </row>
    <row r="308" spans="1:22" x14ac:dyDescent="0.3">
      <c r="A308" s="3" t="str">
        <f>INDEX(Mapping!$Y:$Y,MATCH($C308,Mapping!$W:$W,0))</f>
        <v>Rural</v>
      </c>
      <c r="B308" s="3" t="str">
        <f>INDEX(Mapping!$V:$V,MATCH(C308,Mapping!$W:$W,0))</f>
        <v>SWV</v>
      </c>
      <c r="C308" t="s">
        <v>179</v>
      </c>
      <c r="D308">
        <v>0</v>
      </c>
      <c r="E308" s="20"/>
      <c r="F308" s="76">
        <v>287.48163265306124</v>
      </c>
      <c r="G308" s="76">
        <v>302.7497959183674</v>
      </c>
      <c r="H308" s="76">
        <v>304.40040816326535</v>
      </c>
      <c r="I308" s="76">
        <v>348.3454744738022</v>
      </c>
      <c r="J308" s="76">
        <v>356.44044160574549</v>
      </c>
      <c r="K308" s="76">
        <v>365.50595208436033</v>
      </c>
      <c r="L308" s="76">
        <v>375.27483811585211</v>
      </c>
      <c r="M308" s="76">
        <v>385.2883287523569</v>
      </c>
      <c r="N308" s="76">
        <v>395.56086174101932</v>
      </c>
      <c r="O308" s="76">
        <v>405.88387110141349</v>
      </c>
      <c r="P308" s="76">
        <v>416.08889773424977</v>
      </c>
      <c r="Q308" s="76">
        <v>426.37037272787865</v>
      </c>
      <c r="R308" s="76">
        <v>436.77162535203803</v>
      </c>
      <c r="S308" s="76">
        <v>447.26624993186573</v>
      </c>
      <c r="T308" s="76">
        <v>457.79828494053595</v>
      </c>
      <c r="U308" s="76">
        <v>468.37438421655816</v>
      </c>
      <c r="V308" s="76">
        <v>479.04928211566954</v>
      </c>
    </row>
    <row r="309" spans="1:22" x14ac:dyDescent="0.3">
      <c r="A309" s="3" t="str">
        <f>INDEX(Mapping!$Y:$Y,MATCH($C309,Mapping!$W:$W,0))</f>
        <v>Rural</v>
      </c>
      <c r="B309" s="3" t="str">
        <f>INDEX(Mapping!$V:$V,MATCH(C309,Mapping!$W:$W,0))</f>
        <v>SWV</v>
      </c>
      <c r="C309" t="s">
        <v>179</v>
      </c>
      <c r="D309">
        <v>1</v>
      </c>
      <c r="E309" s="20"/>
      <c r="F309" s="76">
        <v>331.84081632653061</v>
      </c>
      <c r="G309" s="76">
        <v>349.46489795918365</v>
      </c>
      <c r="H309" s="76">
        <v>351.37020408163261</v>
      </c>
      <c r="I309" s="76">
        <v>304.40040816326535</v>
      </c>
      <c r="J309" s="76">
        <v>348.3454744738022</v>
      </c>
      <c r="K309" s="76">
        <v>356.44044160574549</v>
      </c>
      <c r="L309" s="76">
        <v>365.50595208436033</v>
      </c>
      <c r="M309" s="76">
        <v>375.27483811585211</v>
      </c>
      <c r="N309" s="76">
        <v>385.2883287523569</v>
      </c>
      <c r="O309" s="76">
        <v>395.56086174101932</v>
      </c>
      <c r="P309" s="76">
        <v>405.88387110141349</v>
      </c>
      <c r="Q309" s="76">
        <v>416.08889773424977</v>
      </c>
      <c r="R309" s="76">
        <v>426.37037272787865</v>
      </c>
      <c r="S309" s="76">
        <v>436.77162535203803</v>
      </c>
      <c r="T309" s="76">
        <v>447.26624993186573</v>
      </c>
      <c r="U309" s="76">
        <v>457.79828494053595</v>
      </c>
      <c r="V309" s="76">
        <v>468.37438421655816</v>
      </c>
    </row>
    <row r="310" spans="1:22" x14ac:dyDescent="0.3">
      <c r="A310" s="3" t="str">
        <f>INDEX(Mapping!$Y:$Y,MATCH($C310,Mapping!$W:$W,0))</f>
        <v>Rural</v>
      </c>
      <c r="B310" s="3" t="str">
        <f>INDEX(Mapping!$V:$V,MATCH(C310,Mapping!$W:$W,0))</f>
        <v>SWV</v>
      </c>
      <c r="C310" t="s">
        <v>179</v>
      </c>
      <c r="D310">
        <v>2</v>
      </c>
      <c r="E310" s="20"/>
      <c r="F310" s="76">
        <v>368.52244897959184</v>
      </c>
      <c r="G310" s="76">
        <v>388.09469387755104</v>
      </c>
      <c r="H310" s="76">
        <v>390.21061224489796</v>
      </c>
      <c r="I310" s="76">
        <v>351.37020408163261</v>
      </c>
      <c r="J310" s="76">
        <v>304.40040816326535</v>
      </c>
      <c r="K310" s="76">
        <v>348.3454744738022</v>
      </c>
      <c r="L310" s="76">
        <v>356.44044160574549</v>
      </c>
      <c r="M310" s="76">
        <v>365.50595208436033</v>
      </c>
      <c r="N310" s="76">
        <v>375.27483811585211</v>
      </c>
      <c r="O310" s="76">
        <v>385.2883287523569</v>
      </c>
      <c r="P310" s="76">
        <v>395.56086174101932</v>
      </c>
      <c r="Q310" s="76">
        <v>405.88387110141349</v>
      </c>
      <c r="R310" s="76">
        <v>416.08889773424977</v>
      </c>
      <c r="S310" s="76">
        <v>426.37037272787865</v>
      </c>
      <c r="T310" s="76">
        <v>436.77162535203803</v>
      </c>
      <c r="U310" s="76">
        <v>447.26624993186573</v>
      </c>
      <c r="V310" s="76">
        <v>457.79828494053595</v>
      </c>
    </row>
    <row r="311" spans="1:22" x14ac:dyDescent="0.3">
      <c r="A311" s="3" t="str">
        <f>INDEX(Mapping!$Y:$Y,MATCH($C311,Mapping!$W:$W,0))</f>
        <v>Rural</v>
      </c>
      <c r="B311" s="3" t="str">
        <f>INDEX(Mapping!$V:$V,MATCH(C311,Mapping!$W:$W,0))</f>
        <v>SWV</v>
      </c>
      <c r="C311" t="s">
        <v>179</v>
      </c>
      <c r="D311">
        <v>3</v>
      </c>
      <c r="E311" s="20"/>
      <c r="F311" s="76">
        <v>377.0530612244898</v>
      </c>
      <c r="G311" s="76">
        <v>397.07836734693876</v>
      </c>
      <c r="H311" s="76">
        <v>399.24326530612245</v>
      </c>
      <c r="I311" s="76">
        <v>390.21061224489796</v>
      </c>
      <c r="J311" s="76">
        <v>351.37020408163261</v>
      </c>
      <c r="K311" s="76">
        <v>304.40040816326535</v>
      </c>
      <c r="L311" s="76">
        <v>348.3454744738022</v>
      </c>
      <c r="M311" s="76">
        <v>356.44044160574549</v>
      </c>
      <c r="N311" s="76">
        <v>365.50595208436033</v>
      </c>
      <c r="O311" s="76">
        <v>375.27483811585211</v>
      </c>
      <c r="P311" s="76">
        <v>385.2883287523569</v>
      </c>
      <c r="Q311" s="76">
        <v>395.56086174101932</v>
      </c>
      <c r="R311" s="76">
        <v>405.88387110141349</v>
      </c>
      <c r="S311" s="76">
        <v>416.08889773424977</v>
      </c>
      <c r="T311" s="76">
        <v>426.37037272787865</v>
      </c>
      <c r="U311" s="76">
        <v>436.77162535203803</v>
      </c>
      <c r="V311" s="76">
        <v>447.26624993186573</v>
      </c>
    </row>
    <row r="312" spans="1:22" x14ac:dyDescent="0.3">
      <c r="A312" s="3" t="str">
        <f>INDEX(Mapping!$Y:$Y,MATCH($C312,Mapping!$W:$W,0))</f>
        <v>Rural</v>
      </c>
      <c r="B312" s="3" t="str">
        <f>INDEX(Mapping!$V:$V,MATCH(C312,Mapping!$W:$W,0))</f>
        <v>SWV</v>
      </c>
      <c r="C312" t="s">
        <v>179</v>
      </c>
      <c r="D312">
        <v>4</v>
      </c>
      <c r="E312" s="20"/>
      <c r="F312" s="76">
        <v>371.93469387755101</v>
      </c>
      <c r="G312" s="76">
        <v>391.68816326530612</v>
      </c>
      <c r="H312" s="76">
        <v>393.82367346938776</v>
      </c>
      <c r="I312" s="76">
        <v>399.24326530612245</v>
      </c>
      <c r="J312" s="76">
        <v>390.21061224489796</v>
      </c>
      <c r="K312" s="76">
        <v>351.37020408163261</v>
      </c>
      <c r="L312" s="76">
        <v>304.40040816326535</v>
      </c>
      <c r="M312" s="76">
        <v>348.3454744738022</v>
      </c>
      <c r="N312" s="76">
        <v>356.44044160574549</v>
      </c>
      <c r="O312" s="76">
        <v>365.50595208436033</v>
      </c>
      <c r="P312" s="76">
        <v>375.27483811585211</v>
      </c>
      <c r="Q312" s="76">
        <v>385.2883287523569</v>
      </c>
      <c r="R312" s="76">
        <v>395.56086174101932</v>
      </c>
      <c r="S312" s="76">
        <v>405.88387110141349</v>
      </c>
      <c r="T312" s="76">
        <v>416.08889773424977</v>
      </c>
      <c r="U312" s="76">
        <v>426.37037272787865</v>
      </c>
      <c r="V312" s="76">
        <v>436.77162535203803</v>
      </c>
    </row>
    <row r="313" spans="1:22" x14ac:dyDescent="0.3">
      <c r="A313" s="3" t="str">
        <f>INDEX(Mapping!$Y:$Y,MATCH($C313,Mapping!$W:$W,0))</f>
        <v>Rural</v>
      </c>
      <c r="B313" s="3" t="str">
        <f>INDEX(Mapping!$V:$V,MATCH(C313,Mapping!$W:$W,0))</f>
        <v>SWV</v>
      </c>
      <c r="C313" t="s">
        <v>179</v>
      </c>
      <c r="D313">
        <v>5</v>
      </c>
      <c r="E313" s="20"/>
      <c r="F313" s="76">
        <v>391.694693877551</v>
      </c>
      <c r="G313" s="76">
        <v>402.67836734693878</v>
      </c>
      <c r="H313" s="76">
        <v>409.0995918367347</v>
      </c>
      <c r="I313" s="76">
        <v>393.82367346938776</v>
      </c>
      <c r="J313" s="76">
        <v>399.24326530612245</v>
      </c>
      <c r="K313" s="76">
        <v>390.21061224489796</v>
      </c>
      <c r="L313" s="76">
        <v>351.37020408163261</v>
      </c>
      <c r="M313" s="76">
        <v>304.40040816326535</v>
      </c>
      <c r="N313" s="76">
        <v>348.3454744738022</v>
      </c>
      <c r="O313" s="76">
        <v>356.44044160574549</v>
      </c>
      <c r="P313" s="76">
        <v>365.50595208436033</v>
      </c>
      <c r="Q313" s="76">
        <v>375.27483811585211</v>
      </c>
      <c r="R313" s="76">
        <v>385.2883287523569</v>
      </c>
      <c r="S313" s="76">
        <v>395.56086174101932</v>
      </c>
      <c r="T313" s="76">
        <v>405.88387110141349</v>
      </c>
      <c r="U313" s="76">
        <v>416.08889773424977</v>
      </c>
      <c r="V313" s="76">
        <v>426.37037272787865</v>
      </c>
    </row>
    <row r="314" spans="1:22" x14ac:dyDescent="0.3">
      <c r="A314" s="3" t="str">
        <f>INDEX(Mapping!$Y:$Y,MATCH($C314,Mapping!$W:$W,0))</f>
        <v>Metro</v>
      </c>
      <c r="B314" s="3" t="str">
        <f>INDEX(Mapping!$V:$V,MATCH(C314,Mapping!$W:$W,0))</f>
        <v>NWV</v>
      </c>
      <c r="C314" t="s">
        <v>141</v>
      </c>
      <c r="D314">
        <v>0</v>
      </c>
      <c r="E314" s="20"/>
      <c r="F314" s="76">
        <v>1940.198683669272</v>
      </c>
      <c r="G314" s="76">
        <v>1970.4950226244346</v>
      </c>
      <c r="H314" s="76">
        <v>2036.9003702180173</v>
      </c>
      <c r="I314" s="76">
        <v>2319.3765500671889</v>
      </c>
      <c r="J314" s="76">
        <v>2362.3245774227876</v>
      </c>
      <c r="K314" s="76">
        <v>2404.0466442113511</v>
      </c>
      <c r="L314" s="76">
        <v>2442.6408813317626</v>
      </c>
      <c r="M314" s="76">
        <v>2480.3395252994151</v>
      </c>
      <c r="N314" s="76">
        <v>2518.1990707365762</v>
      </c>
      <c r="O314" s="76">
        <v>2555.9776569508795</v>
      </c>
      <c r="P314" s="76">
        <v>2593.147381362458</v>
      </c>
      <c r="Q314" s="76">
        <v>2630.4899210398489</v>
      </c>
      <c r="R314" s="76">
        <v>2667.4539106036837</v>
      </c>
      <c r="S314" s="76">
        <v>2703.5716118258933</v>
      </c>
      <c r="T314" s="76">
        <v>2740.0157529674325</v>
      </c>
      <c r="U314" s="76">
        <v>2776.8343794685452</v>
      </c>
      <c r="V314" s="76">
        <v>2814.2526596753869</v>
      </c>
    </row>
    <row r="315" spans="1:22" x14ac:dyDescent="0.3">
      <c r="A315" s="3" t="str">
        <f>INDEX(Mapping!$Y:$Y,MATCH($C315,Mapping!$W:$W,0))</f>
        <v>Metro</v>
      </c>
      <c r="B315" s="3" t="str">
        <f>INDEX(Mapping!$V:$V,MATCH(C315,Mapping!$W:$W,0))</f>
        <v>NWV</v>
      </c>
      <c r="C315" t="s">
        <v>141</v>
      </c>
      <c r="D315">
        <v>1</v>
      </c>
      <c r="E315" s="20"/>
      <c r="F315" s="76">
        <v>1981.8844097079391</v>
      </c>
      <c r="G315" s="76">
        <v>2012.8316742081447</v>
      </c>
      <c r="H315" s="76">
        <v>2080.6637597696422</v>
      </c>
      <c r="I315" s="76">
        <v>2036.9003702180173</v>
      </c>
      <c r="J315" s="76">
        <v>2319.3765500671889</v>
      </c>
      <c r="K315" s="76">
        <v>2362.3245774227876</v>
      </c>
      <c r="L315" s="76">
        <v>2404.0466442113511</v>
      </c>
      <c r="M315" s="76">
        <v>2442.6408813317626</v>
      </c>
      <c r="N315" s="76">
        <v>2480.3395252994151</v>
      </c>
      <c r="O315" s="76">
        <v>2518.1990707365762</v>
      </c>
      <c r="P315" s="76">
        <v>2555.9776569508795</v>
      </c>
      <c r="Q315" s="76">
        <v>2593.147381362458</v>
      </c>
      <c r="R315" s="76">
        <v>2630.4899210398489</v>
      </c>
      <c r="S315" s="76">
        <v>2667.4539106036837</v>
      </c>
      <c r="T315" s="76">
        <v>2703.5716118258933</v>
      </c>
      <c r="U315" s="76">
        <v>2740.0157529674325</v>
      </c>
      <c r="V315" s="76">
        <v>2776.8343794685452</v>
      </c>
    </row>
    <row r="316" spans="1:22" x14ac:dyDescent="0.3">
      <c r="A316" s="3" t="str">
        <f>INDEX(Mapping!$Y:$Y,MATCH($C316,Mapping!$W:$W,0))</f>
        <v>Metro</v>
      </c>
      <c r="B316" s="3" t="str">
        <f>INDEX(Mapping!$V:$V,MATCH(C316,Mapping!$W:$W,0))</f>
        <v>NWV</v>
      </c>
      <c r="C316" t="s">
        <v>141</v>
      </c>
      <c r="D316">
        <v>2</v>
      </c>
      <c r="E316" s="20"/>
      <c r="F316" s="76">
        <v>1886.7322089675031</v>
      </c>
      <c r="G316" s="76">
        <v>1916.193665158371</v>
      </c>
      <c r="H316" s="76">
        <v>1980.7690662278897</v>
      </c>
      <c r="I316" s="76">
        <v>2080.6637597696422</v>
      </c>
      <c r="J316" s="76">
        <v>2036.9003702180173</v>
      </c>
      <c r="K316" s="76">
        <v>2319.3765500671889</v>
      </c>
      <c r="L316" s="76">
        <v>2362.3245774227876</v>
      </c>
      <c r="M316" s="76">
        <v>2404.0466442113511</v>
      </c>
      <c r="N316" s="76">
        <v>2442.6408813317626</v>
      </c>
      <c r="O316" s="76">
        <v>2480.3395252994151</v>
      </c>
      <c r="P316" s="76">
        <v>2518.1990707365762</v>
      </c>
      <c r="Q316" s="76">
        <v>2555.9776569508795</v>
      </c>
      <c r="R316" s="76">
        <v>2593.147381362458</v>
      </c>
      <c r="S316" s="76">
        <v>2630.4899210398489</v>
      </c>
      <c r="T316" s="76">
        <v>2667.4539106036837</v>
      </c>
      <c r="U316" s="76">
        <v>2703.5716118258933</v>
      </c>
      <c r="V316" s="76">
        <v>2740.0157529674325</v>
      </c>
    </row>
    <row r="317" spans="1:22" x14ac:dyDescent="0.3">
      <c r="A317" s="3" t="str">
        <f>INDEX(Mapping!$Y:$Y,MATCH($C317,Mapping!$W:$W,0))</f>
        <v>Metro</v>
      </c>
      <c r="B317" s="3" t="str">
        <f>INDEX(Mapping!$V:$V,MATCH(C317,Mapping!$W:$W,0))</f>
        <v>NWV</v>
      </c>
      <c r="C317" t="s">
        <v>141</v>
      </c>
      <c r="D317">
        <v>3</v>
      </c>
      <c r="E317" s="20"/>
      <c r="F317" s="76">
        <v>1813.3290826820239</v>
      </c>
      <c r="G317" s="76">
        <v>1841.6443438914027</v>
      </c>
      <c r="H317" s="76">
        <v>1903.707445495681</v>
      </c>
      <c r="I317" s="76">
        <v>1980.7690662278897</v>
      </c>
      <c r="J317" s="76">
        <v>2080.6637597696422</v>
      </c>
      <c r="K317" s="76">
        <v>2036.9003702180173</v>
      </c>
      <c r="L317" s="76">
        <v>2319.3765500671889</v>
      </c>
      <c r="M317" s="76">
        <v>2362.3245774227876</v>
      </c>
      <c r="N317" s="76">
        <v>2404.0466442113511</v>
      </c>
      <c r="O317" s="76">
        <v>2442.6408813317626</v>
      </c>
      <c r="P317" s="76">
        <v>2480.3395252994151</v>
      </c>
      <c r="Q317" s="76">
        <v>2518.1990707365762</v>
      </c>
      <c r="R317" s="76">
        <v>2555.9776569508795</v>
      </c>
      <c r="S317" s="76">
        <v>2593.147381362458</v>
      </c>
      <c r="T317" s="76">
        <v>2630.4899210398489</v>
      </c>
      <c r="U317" s="76">
        <v>2667.4539106036837</v>
      </c>
      <c r="V317" s="76">
        <v>2703.5716118258933</v>
      </c>
    </row>
    <row r="318" spans="1:22" x14ac:dyDescent="0.3">
      <c r="A318" s="3" t="str">
        <f>INDEX(Mapping!$Y:$Y,MATCH($C318,Mapping!$W:$W,0))</f>
        <v>Metro</v>
      </c>
      <c r="B318" s="3" t="str">
        <f>INDEX(Mapping!$V:$V,MATCH(C318,Mapping!$W:$W,0))</f>
        <v>NWV</v>
      </c>
      <c r="C318" t="s">
        <v>141</v>
      </c>
      <c r="D318">
        <v>4</v>
      </c>
      <c r="E318" s="20"/>
      <c r="F318" s="76">
        <v>1680.1160016454132</v>
      </c>
      <c r="G318" s="76">
        <v>1706.3511312217195</v>
      </c>
      <c r="H318" s="76">
        <v>1763.8548745372275</v>
      </c>
      <c r="I318" s="76">
        <v>1903.707445495681</v>
      </c>
      <c r="J318" s="76">
        <v>1980.7690662278897</v>
      </c>
      <c r="K318" s="76">
        <v>2080.6637597696422</v>
      </c>
      <c r="L318" s="76">
        <v>2036.9003702180173</v>
      </c>
      <c r="M318" s="76">
        <v>2319.3765500671889</v>
      </c>
      <c r="N318" s="76">
        <v>2362.3245774227876</v>
      </c>
      <c r="O318" s="76">
        <v>2404.0466442113511</v>
      </c>
      <c r="P318" s="76">
        <v>2442.6408813317626</v>
      </c>
      <c r="Q318" s="76">
        <v>2480.3395252994151</v>
      </c>
      <c r="R318" s="76">
        <v>2518.1990707365762</v>
      </c>
      <c r="S318" s="76">
        <v>2555.9776569508795</v>
      </c>
      <c r="T318" s="76">
        <v>2593.147381362458</v>
      </c>
      <c r="U318" s="76">
        <v>2630.4899210398489</v>
      </c>
      <c r="V318" s="76">
        <v>2667.4539106036837</v>
      </c>
    </row>
    <row r="319" spans="1:22" x14ac:dyDescent="0.3">
      <c r="A319" s="3" t="str">
        <f>INDEX(Mapping!$Y:$Y,MATCH($C319,Mapping!$W:$W,0))</f>
        <v>Metro</v>
      </c>
      <c r="B319" s="3" t="str">
        <f>INDEX(Mapping!$V:$V,MATCH(C319,Mapping!$W:$W,0))</f>
        <v>NWV</v>
      </c>
      <c r="C319" t="s">
        <v>141</v>
      </c>
      <c r="D319">
        <v>5</v>
      </c>
      <c r="E319" s="20"/>
      <c r="F319" s="76">
        <v>1394.9148498560264</v>
      </c>
      <c r="G319" s="76">
        <v>1432.6993006993007</v>
      </c>
      <c r="H319" s="76">
        <v>1461.7762237762238</v>
      </c>
      <c r="I319" s="76">
        <v>1763.8548745372275</v>
      </c>
      <c r="J319" s="76">
        <v>1903.707445495681</v>
      </c>
      <c r="K319" s="76">
        <v>1980.7690662278897</v>
      </c>
      <c r="L319" s="76">
        <v>2080.6637597696422</v>
      </c>
      <c r="M319" s="76">
        <v>2036.9003702180173</v>
      </c>
      <c r="N319" s="76">
        <v>2319.3765500671889</v>
      </c>
      <c r="O319" s="76">
        <v>2362.3245774227876</v>
      </c>
      <c r="P319" s="76">
        <v>2404.0466442113511</v>
      </c>
      <c r="Q319" s="76">
        <v>2442.6408813317626</v>
      </c>
      <c r="R319" s="76">
        <v>2480.3395252994151</v>
      </c>
      <c r="S319" s="76">
        <v>2518.1990707365762</v>
      </c>
      <c r="T319" s="76">
        <v>2555.9776569508795</v>
      </c>
      <c r="U319" s="76">
        <v>2593.147381362458</v>
      </c>
      <c r="V319" s="76">
        <v>2630.4899210398489</v>
      </c>
    </row>
    <row r="320" spans="1:22" x14ac:dyDescent="0.3">
      <c r="A320" s="3" t="str">
        <f>INDEX(Mapping!$Y:$Y,MATCH($C320,Mapping!$W:$W,0))</f>
        <v>Interface</v>
      </c>
      <c r="B320" s="3" t="str">
        <f>INDEX(Mapping!$V:$V,MATCH(C320,Mapping!$W:$W,0))</f>
        <v>SEV</v>
      </c>
      <c r="C320" t="s">
        <v>158</v>
      </c>
      <c r="D320">
        <v>0</v>
      </c>
      <c r="E320" s="20"/>
      <c r="F320" s="76">
        <v>1232.4362198337051</v>
      </c>
      <c r="G320" s="76">
        <v>1245.7231798823766</v>
      </c>
      <c r="H320" s="76">
        <v>1234.55647941594</v>
      </c>
      <c r="I320" s="76">
        <v>1387.7317696732475</v>
      </c>
      <c r="J320" s="76">
        <v>1400.2923952392036</v>
      </c>
      <c r="K320" s="76">
        <v>1414.2028042330899</v>
      </c>
      <c r="L320" s="76">
        <v>1427.6123061910851</v>
      </c>
      <c r="M320" s="76">
        <v>1441.3940386216966</v>
      </c>
      <c r="N320" s="76">
        <v>1455.5401562435059</v>
      </c>
      <c r="O320" s="76">
        <v>1470.0150308938751</v>
      </c>
      <c r="P320" s="76">
        <v>1484.0106458139228</v>
      </c>
      <c r="Q320" s="76">
        <v>1498.5604867921027</v>
      </c>
      <c r="R320" s="76">
        <v>1513.8401663794216</v>
      </c>
      <c r="S320" s="76">
        <v>1529.643237382392</v>
      </c>
      <c r="T320" s="76">
        <v>1545.7650465282675</v>
      </c>
      <c r="U320" s="76">
        <v>1562.1771604263627</v>
      </c>
      <c r="V320" s="76">
        <v>1579.1553828461517</v>
      </c>
    </row>
    <row r="321" spans="1:22" x14ac:dyDescent="0.3">
      <c r="A321" s="3" t="str">
        <f>INDEX(Mapping!$Y:$Y,MATCH($C321,Mapping!$W:$W,0))</f>
        <v>Interface</v>
      </c>
      <c r="B321" s="3" t="str">
        <f>INDEX(Mapping!$V:$V,MATCH(C321,Mapping!$W:$W,0))</f>
        <v>SEV</v>
      </c>
      <c r="C321" t="s">
        <v>158</v>
      </c>
      <c r="D321">
        <v>1</v>
      </c>
      <c r="E321" s="20"/>
      <c r="F321" s="76">
        <v>1354.4421009937132</v>
      </c>
      <c r="G321" s="76">
        <v>1369.0444128979923</v>
      </c>
      <c r="H321" s="76">
        <v>1356.7722571486513</v>
      </c>
      <c r="I321" s="76">
        <v>1234.55647941594</v>
      </c>
      <c r="J321" s="76">
        <v>1387.7317696732475</v>
      </c>
      <c r="K321" s="76">
        <v>1400.2923952392036</v>
      </c>
      <c r="L321" s="76">
        <v>1414.2028042330899</v>
      </c>
      <c r="M321" s="76">
        <v>1427.6123061910851</v>
      </c>
      <c r="N321" s="76">
        <v>1441.3940386216966</v>
      </c>
      <c r="O321" s="76">
        <v>1455.5401562435059</v>
      </c>
      <c r="P321" s="76">
        <v>1470.0150308938751</v>
      </c>
      <c r="Q321" s="76">
        <v>1484.0106458139228</v>
      </c>
      <c r="R321" s="76">
        <v>1498.5604867921027</v>
      </c>
      <c r="S321" s="76">
        <v>1513.8401663794216</v>
      </c>
      <c r="T321" s="76">
        <v>1529.643237382392</v>
      </c>
      <c r="U321" s="76">
        <v>1545.7650465282675</v>
      </c>
      <c r="V321" s="76">
        <v>1562.1771604263627</v>
      </c>
    </row>
    <row r="322" spans="1:22" x14ac:dyDescent="0.3">
      <c r="A322" s="3" t="str">
        <f>INDEX(Mapping!$Y:$Y,MATCH($C322,Mapping!$W:$W,0))</f>
        <v>Interface</v>
      </c>
      <c r="B322" s="3" t="str">
        <f>INDEX(Mapping!$V:$V,MATCH(C322,Mapping!$W:$W,0))</f>
        <v>SEV</v>
      </c>
      <c r="C322" t="s">
        <v>158</v>
      </c>
      <c r="D322">
        <v>2</v>
      </c>
      <c r="E322" s="20"/>
      <c r="F322" s="76">
        <v>1418.9814439261813</v>
      </c>
      <c r="G322" s="76">
        <v>1434.2795578990065</v>
      </c>
      <c r="H322" s="76">
        <v>1421.4226323261003</v>
      </c>
      <c r="I322" s="76">
        <v>1356.7722571486513</v>
      </c>
      <c r="J322" s="76">
        <v>1234.55647941594</v>
      </c>
      <c r="K322" s="76">
        <v>1387.7317696732475</v>
      </c>
      <c r="L322" s="76">
        <v>1400.2923952392036</v>
      </c>
      <c r="M322" s="76">
        <v>1414.2028042330899</v>
      </c>
      <c r="N322" s="76">
        <v>1427.6123061910851</v>
      </c>
      <c r="O322" s="76">
        <v>1441.3940386216966</v>
      </c>
      <c r="P322" s="76">
        <v>1455.5401562435059</v>
      </c>
      <c r="Q322" s="76">
        <v>1470.0150308938751</v>
      </c>
      <c r="R322" s="76">
        <v>1484.0106458139228</v>
      </c>
      <c r="S322" s="76">
        <v>1498.5604867921027</v>
      </c>
      <c r="T322" s="76">
        <v>1513.8401663794216</v>
      </c>
      <c r="U322" s="76">
        <v>1529.643237382392</v>
      </c>
      <c r="V322" s="76">
        <v>1545.7650465282675</v>
      </c>
    </row>
    <row r="323" spans="1:22" x14ac:dyDescent="0.3">
      <c r="A323" s="3" t="str">
        <f>INDEX(Mapping!$Y:$Y,MATCH($C323,Mapping!$W:$W,0))</f>
        <v>Interface</v>
      </c>
      <c r="B323" s="3" t="str">
        <f>INDEX(Mapping!$V:$V,MATCH(C323,Mapping!$W:$W,0))</f>
        <v>SEV</v>
      </c>
      <c r="C323" t="s">
        <v>158</v>
      </c>
      <c r="D323">
        <v>3</v>
      </c>
      <c r="E323" s="20"/>
      <c r="F323" s="76">
        <v>1493.2458933279254</v>
      </c>
      <c r="G323" s="76">
        <v>1509.3446562563374</v>
      </c>
      <c r="H323" s="76">
        <v>1495.814844859055</v>
      </c>
      <c r="I323" s="76">
        <v>1421.4226323261003</v>
      </c>
      <c r="J323" s="76">
        <v>1356.7722571486513</v>
      </c>
      <c r="K323" s="76">
        <v>1234.55647941594</v>
      </c>
      <c r="L323" s="76">
        <v>1387.7317696732475</v>
      </c>
      <c r="M323" s="76">
        <v>1400.2923952392036</v>
      </c>
      <c r="N323" s="76">
        <v>1414.2028042330899</v>
      </c>
      <c r="O323" s="76">
        <v>1427.6123061910851</v>
      </c>
      <c r="P323" s="76">
        <v>1441.3940386216966</v>
      </c>
      <c r="Q323" s="76">
        <v>1455.5401562435059</v>
      </c>
      <c r="R323" s="76">
        <v>1470.0150308938751</v>
      </c>
      <c r="S323" s="76">
        <v>1484.0106458139228</v>
      </c>
      <c r="T323" s="76">
        <v>1498.5604867921027</v>
      </c>
      <c r="U323" s="76">
        <v>1513.8401663794216</v>
      </c>
      <c r="V323" s="76">
        <v>1529.643237382392</v>
      </c>
    </row>
    <row r="324" spans="1:22" x14ac:dyDescent="0.3">
      <c r="A324" s="3" t="str">
        <f>INDEX(Mapping!$Y:$Y,MATCH($C324,Mapping!$W:$W,0))</f>
        <v>Interface</v>
      </c>
      <c r="B324" s="3" t="str">
        <f>INDEX(Mapping!$V:$V,MATCH(C324,Mapping!$W:$W,0))</f>
        <v>SEV</v>
      </c>
      <c r="C324" t="s">
        <v>158</v>
      </c>
      <c r="D324">
        <v>4</v>
      </c>
      <c r="E324" s="20"/>
      <c r="F324" s="76">
        <v>1584.3082539038735</v>
      </c>
      <c r="G324" s="76">
        <v>1601.3887649563985</v>
      </c>
      <c r="H324" s="76">
        <v>1587.033867369702</v>
      </c>
      <c r="I324" s="76">
        <v>1495.814844859055</v>
      </c>
      <c r="J324" s="76">
        <v>1421.4226323261003</v>
      </c>
      <c r="K324" s="76">
        <v>1356.7722571486513</v>
      </c>
      <c r="L324" s="76">
        <v>1234.55647941594</v>
      </c>
      <c r="M324" s="76">
        <v>1387.7317696732475</v>
      </c>
      <c r="N324" s="76">
        <v>1400.2923952392036</v>
      </c>
      <c r="O324" s="76">
        <v>1414.2028042330899</v>
      </c>
      <c r="P324" s="76">
        <v>1427.6123061910851</v>
      </c>
      <c r="Q324" s="76">
        <v>1441.3940386216966</v>
      </c>
      <c r="R324" s="76">
        <v>1455.5401562435059</v>
      </c>
      <c r="S324" s="76">
        <v>1470.0150308938751</v>
      </c>
      <c r="T324" s="76">
        <v>1484.0106458139228</v>
      </c>
      <c r="U324" s="76">
        <v>1498.5604867921027</v>
      </c>
      <c r="V324" s="76">
        <v>1513.8401663794216</v>
      </c>
    </row>
    <row r="325" spans="1:22" x14ac:dyDescent="0.3">
      <c r="A325" s="3" t="str">
        <f>INDEX(Mapping!$Y:$Y,MATCH($C325,Mapping!$W:$W,0))</f>
        <v>Interface</v>
      </c>
      <c r="B325" s="3" t="str">
        <f>INDEX(Mapping!$V:$V,MATCH(C325,Mapping!$W:$W,0))</f>
        <v>SEV</v>
      </c>
      <c r="C325" t="s">
        <v>158</v>
      </c>
      <c r="D325">
        <v>5</v>
      </c>
      <c r="E325" s="20"/>
      <c r="F325" s="76">
        <v>1869.6968160616507</v>
      </c>
      <c r="G325" s="76">
        <v>1900.4613668627053</v>
      </c>
      <c r="H325" s="76">
        <v>1901.9620766578787</v>
      </c>
      <c r="I325" s="76">
        <v>1587.033867369702</v>
      </c>
      <c r="J325" s="76">
        <v>1495.814844859055</v>
      </c>
      <c r="K325" s="76">
        <v>1421.4226323261003</v>
      </c>
      <c r="L325" s="76">
        <v>1356.7722571486513</v>
      </c>
      <c r="M325" s="76">
        <v>1234.55647941594</v>
      </c>
      <c r="N325" s="76">
        <v>1387.7317696732475</v>
      </c>
      <c r="O325" s="76">
        <v>1400.2923952392036</v>
      </c>
      <c r="P325" s="76">
        <v>1414.2028042330899</v>
      </c>
      <c r="Q325" s="76">
        <v>1427.6123061910851</v>
      </c>
      <c r="R325" s="76">
        <v>1441.3940386216966</v>
      </c>
      <c r="S325" s="76">
        <v>1455.5401562435059</v>
      </c>
      <c r="T325" s="76">
        <v>1470.0150308938751</v>
      </c>
      <c r="U325" s="76">
        <v>1484.0106458139228</v>
      </c>
      <c r="V325" s="76">
        <v>1498.5604867921027</v>
      </c>
    </row>
    <row r="326" spans="1:22" x14ac:dyDescent="0.3">
      <c r="A326" s="3" t="str">
        <f>INDEX(Mapping!$Y:$Y,MATCH($C326,Mapping!$W:$W,0))</f>
        <v>Rural</v>
      </c>
      <c r="B326" s="3" t="str">
        <f>INDEX(Mapping!$V:$V,MATCH(C326,Mapping!$W:$W,0))</f>
        <v>NWV</v>
      </c>
      <c r="C326" t="s">
        <v>142</v>
      </c>
      <c r="D326">
        <v>0</v>
      </c>
      <c r="E326" s="20"/>
      <c r="F326" s="76">
        <v>128.68982387475538</v>
      </c>
      <c r="G326" s="76">
        <v>134.15655577299412</v>
      </c>
      <c r="H326" s="76">
        <v>131.20156555772994</v>
      </c>
      <c r="I326" s="76">
        <v>141.18823574461032</v>
      </c>
      <c r="J326" s="76">
        <v>141.94562314443331</v>
      </c>
      <c r="K326" s="76">
        <v>142.60276204656932</v>
      </c>
      <c r="L326" s="76">
        <v>143.29989716229835</v>
      </c>
      <c r="M326" s="76">
        <v>144.07073185092983</v>
      </c>
      <c r="N326" s="76">
        <v>144.90558146819569</v>
      </c>
      <c r="O326" s="76">
        <v>145.79482112532608</v>
      </c>
      <c r="P326" s="76">
        <v>146.72266715273656</v>
      </c>
      <c r="Q326" s="76">
        <v>147.67665171868902</v>
      </c>
      <c r="R326" s="76">
        <v>148.67622608284034</v>
      </c>
      <c r="S326" s="76">
        <v>149.70348588916872</v>
      </c>
      <c r="T326" s="76">
        <v>150.7335325385487</v>
      </c>
      <c r="U326" s="76">
        <v>151.76263277468661</v>
      </c>
      <c r="V326" s="76">
        <v>152.77757020850498</v>
      </c>
    </row>
    <row r="327" spans="1:22" x14ac:dyDescent="0.3">
      <c r="A327" s="3" t="str">
        <f>INDEX(Mapping!$Y:$Y,MATCH($C327,Mapping!$W:$W,0))</f>
        <v>Rural</v>
      </c>
      <c r="B327" s="3" t="str">
        <f>INDEX(Mapping!$V:$V,MATCH(C327,Mapping!$W:$W,0))</f>
        <v>NWV</v>
      </c>
      <c r="C327" t="s">
        <v>142</v>
      </c>
      <c r="D327">
        <v>1</v>
      </c>
      <c r="E327" s="20"/>
      <c r="F327" s="76">
        <v>132.95107632093934</v>
      </c>
      <c r="G327" s="76">
        <v>138.59882583170253</v>
      </c>
      <c r="H327" s="76">
        <v>135.54598825831701</v>
      </c>
      <c r="I327" s="76">
        <v>131.20156555772994</v>
      </c>
      <c r="J327" s="76">
        <v>141.18823574461032</v>
      </c>
      <c r="K327" s="76">
        <v>141.94562314443331</v>
      </c>
      <c r="L327" s="76">
        <v>142.60276204656932</v>
      </c>
      <c r="M327" s="76">
        <v>143.29989716229835</v>
      </c>
      <c r="N327" s="76">
        <v>144.07073185092983</v>
      </c>
      <c r="O327" s="76">
        <v>144.90558146819569</v>
      </c>
      <c r="P327" s="76">
        <v>145.79482112532608</v>
      </c>
      <c r="Q327" s="76">
        <v>146.72266715273656</v>
      </c>
      <c r="R327" s="76">
        <v>147.67665171868902</v>
      </c>
      <c r="S327" s="76">
        <v>148.67622608284034</v>
      </c>
      <c r="T327" s="76">
        <v>149.70348588916872</v>
      </c>
      <c r="U327" s="76">
        <v>150.7335325385487</v>
      </c>
      <c r="V327" s="76">
        <v>151.76263277468661</v>
      </c>
    </row>
    <row r="328" spans="1:22" x14ac:dyDescent="0.3">
      <c r="A328" s="3" t="str">
        <f>INDEX(Mapping!$Y:$Y,MATCH($C328,Mapping!$W:$W,0))</f>
        <v>Rural</v>
      </c>
      <c r="B328" s="3" t="str">
        <f>INDEX(Mapping!$V:$V,MATCH(C328,Mapping!$W:$W,0))</f>
        <v>NWV</v>
      </c>
      <c r="C328" t="s">
        <v>142</v>
      </c>
      <c r="D328">
        <v>2</v>
      </c>
      <c r="E328" s="20"/>
      <c r="F328" s="76">
        <v>148.29158512720156</v>
      </c>
      <c r="G328" s="76">
        <v>154.59099804305282</v>
      </c>
      <c r="H328" s="76">
        <v>151.18590998043052</v>
      </c>
      <c r="I328" s="76">
        <v>135.54598825831701</v>
      </c>
      <c r="J328" s="76">
        <v>131.20156555772994</v>
      </c>
      <c r="K328" s="76">
        <v>141.18823574461032</v>
      </c>
      <c r="L328" s="76">
        <v>141.94562314443331</v>
      </c>
      <c r="M328" s="76">
        <v>142.60276204656932</v>
      </c>
      <c r="N328" s="76">
        <v>143.29989716229835</v>
      </c>
      <c r="O328" s="76">
        <v>144.07073185092983</v>
      </c>
      <c r="P328" s="76">
        <v>144.90558146819569</v>
      </c>
      <c r="Q328" s="76">
        <v>145.79482112532608</v>
      </c>
      <c r="R328" s="76">
        <v>146.72266715273656</v>
      </c>
      <c r="S328" s="76">
        <v>147.67665171868902</v>
      </c>
      <c r="T328" s="76">
        <v>148.67622608284034</v>
      </c>
      <c r="U328" s="76">
        <v>149.70348588916872</v>
      </c>
      <c r="V328" s="76">
        <v>150.7335325385487</v>
      </c>
    </row>
    <row r="329" spans="1:22" x14ac:dyDescent="0.3">
      <c r="A329" s="3" t="str">
        <f>INDEX(Mapping!$Y:$Y,MATCH($C329,Mapping!$W:$W,0))</f>
        <v>Rural</v>
      </c>
      <c r="B329" s="3" t="str">
        <f>INDEX(Mapping!$V:$V,MATCH(C329,Mapping!$W:$W,0))</f>
        <v>NWV</v>
      </c>
      <c r="C329" t="s">
        <v>142</v>
      </c>
      <c r="D329">
        <v>3</v>
      </c>
      <c r="E329" s="20"/>
      <c r="F329" s="76">
        <v>155.96183953033267</v>
      </c>
      <c r="G329" s="76">
        <v>162.58708414872797</v>
      </c>
      <c r="H329" s="76">
        <v>159.00587084148728</v>
      </c>
      <c r="I329" s="76">
        <v>151.18590998043052</v>
      </c>
      <c r="J329" s="76">
        <v>135.54598825831701</v>
      </c>
      <c r="K329" s="76">
        <v>131.20156555772994</v>
      </c>
      <c r="L329" s="76">
        <v>141.18823574461032</v>
      </c>
      <c r="M329" s="76">
        <v>141.94562314443331</v>
      </c>
      <c r="N329" s="76">
        <v>142.60276204656932</v>
      </c>
      <c r="O329" s="76">
        <v>143.29989716229835</v>
      </c>
      <c r="P329" s="76">
        <v>144.07073185092983</v>
      </c>
      <c r="Q329" s="76">
        <v>144.90558146819569</v>
      </c>
      <c r="R329" s="76">
        <v>145.79482112532608</v>
      </c>
      <c r="S329" s="76">
        <v>146.72266715273656</v>
      </c>
      <c r="T329" s="76">
        <v>147.67665171868902</v>
      </c>
      <c r="U329" s="76">
        <v>148.67622608284034</v>
      </c>
      <c r="V329" s="76">
        <v>149.70348588916872</v>
      </c>
    </row>
    <row r="330" spans="1:22" x14ac:dyDescent="0.3">
      <c r="A330" s="3" t="str">
        <f>INDEX(Mapping!$Y:$Y,MATCH($C330,Mapping!$W:$W,0))</f>
        <v>Rural</v>
      </c>
      <c r="B330" s="3" t="str">
        <f>INDEX(Mapping!$V:$V,MATCH(C330,Mapping!$W:$W,0))</f>
        <v>NWV</v>
      </c>
      <c r="C330" t="s">
        <v>142</v>
      </c>
      <c r="D330">
        <v>4</v>
      </c>
      <c r="E330" s="20"/>
      <c r="F330" s="76">
        <v>144.88258317025441</v>
      </c>
      <c r="G330" s="76">
        <v>151.0371819960861</v>
      </c>
      <c r="H330" s="76">
        <v>147.71037181996084</v>
      </c>
      <c r="I330" s="76">
        <v>159.00587084148728</v>
      </c>
      <c r="J330" s="76">
        <v>151.18590998043052</v>
      </c>
      <c r="K330" s="76">
        <v>135.54598825831701</v>
      </c>
      <c r="L330" s="76">
        <v>131.20156555772994</v>
      </c>
      <c r="M330" s="76">
        <v>141.18823574461032</v>
      </c>
      <c r="N330" s="76">
        <v>141.94562314443331</v>
      </c>
      <c r="O330" s="76">
        <v>142.60276204656932</v>
      </c>
      <c r="P330" s="76">
        <v>143.29989716229835</v>
      </c>
      <c r="Q330" s="76">
        <v>144.07073185092983</v>
      </c>
      <c r="R330" s="76">
        <v>144.90558146819569</v>
      </c>
      <c r="S330" s="76">
        <v>145.79482112532608</v>
      </c>
      <c r="T330" s="76">
        <v>146.72266715273656</v>
      </c>
      <c r="U330" s="76">
        <v>147.67665171868902</v>
      </c>
      <c r="V330" s="76">
        <v>148.67622608284034</v>
      </c>
    </row>
    <row r="331" spans="1:22" x14ac:dyDescent="0.3">
      <c r="A331" s="3" t="str">
        <f>INDEX(Mapping!$Y:$Y,MATCH($C331,Mapping!$W:$W,0))</f>
        <v>Rural</v>
      </c>
      <c r="B331" s="3" t="str">
        <f>INDEX(Mapping!$V:$V,MATCH(C331,Mapping!$W:$W,0))</f>
        <v>NWV</v>
      </c>
      <c r="C331" t="s">
        <v>142</v>
      </c>
      <c r="D331">
        <v>5</v>
      </c>
      <c r="E331" s="20"/>
      <c r="F331" s="76">
        <v>183.76908023483364</v>
      </c>
      <c r="G331" s="76">
        <v>189.10371819960861</v>
      </c>
      <c r="H331" s="76">
        <v>184.50489236790605</v>
      </c>
      <c r="I331" s="76">
        <v>147.71037181996084</v>
      </c>
      <c r="J331" s="76">
        <v>159.00587084148728</v>
      </c>
      <c r="K331" s="76">
        <v>151.18590998043052</v>
      </c>
      <c r="L331" s="76">
        <v>135.54598825831701</v>
      </c>
      <c r="M331" s="76">
        <v>131.20156555772994</v>
      </c>
      <c r="N331" s="76">
        <v>141.18823574461032</v>
      </c>
      <c r="O331" s="76">
        <v>141.94562314443331</v>
      </c>
      <c r="P331" s="76">
        <v>142.60276204656932</v>
      </c>
      <c r="Q331" s="76">
        <v>143.29989716229835</v>
      </c>
      <c r="R331" s="76">
        <v>144.07073185092983</v>
      </c>
      <c r="S331" s="76">
        <v>144.90558146819569</v>
      </c>
      <c r="T331" s="76">
        <v>145.79482112532608</v>
      </c>
      <c r="U331" s="76">
        <v>146.72266715273656</v>
      </c>
      <c r="V331" s="76">
        <v>147.67665171868902</v>
      </c>
    </row>
    <row r="332" spans="1:22" x14ac:dyDescent="0.3">
      <c r="A332" s="3" t="str">
        <f>INDEX(Mapping!$Y:$Y,MATCH($C332,Mapping!$W:$W,0))</f>
        <v>Rural</v>
      </c>
      <c r="B332" s="3" t="str">
        <f>INDEX(Mapping!$V:$V,MATCH(C332,Mapping!$W:$W,0))</f>
        <v>SWV</v>
      </c>
      <c r="C332" t="s">
        <v>180</v>
      </c>
      <c r="D332">
        <v>0</v>
      </c>
      <c r="E332" s="20"/>
      <c r="F332" s="76">
        <v>148.47566182749787</v>
      </c>
      <c r="G332" s="76">
        <v>152.61229718189583</v>
      </c>
      <c r="H332" s="76">
        <v>145.81639624252776</v>
      </c>
      <c r="I332" s="76">
        <v>166.85169325492814</v>
      </c>
      <c r="J332" s="76">
        <v>167.50894734406714</v>
      </c>
      <c r="K332" s="76">
        <v>168.28006877138097</v>
      </c>
      <c r="L332" s="76">
        <v>169.14684794615559</v>
      </c>
      <c r="M332" s="76">
        <v>169.98352740724701</v>
      </c>
      <c r="N332" s="76">
        <v>170.79776082285022</v>
      </c>
      <c r="O332" s="76">
        <v>171.63923516388462</v>
      </c>
      <c r="P332" s="76">
        <v>172.48463546657447</v>
      </c>
      <c r="Q332" s="76">
        <v>173.33459422253986</v>
      </c>
      <c r="R332" s="76">
        <v>174.17975471860805</v>
      </c>
      <c r="S332" s="76">
        <v>175.02476464914037</v>
      </c>
      <c r="T332" s="76">
        <v>175.86973484239914</v>
      </c>
      <c r="U332" s="76">
        <v>176.71559127408025</v>
      </c>
      <c r="V332" s="76">
        <v>177.56062863100479</v>
      </c>
    </row>
    <row r="333" spans="1:22" x14ac:dyDescent="0.3">
      <c r="A333" s="3" t="str">
        <f>INDEX(Mapping!$Y:$Y,MATCH($C333,Mapping!$W:$W,0))</f>
        <v>Rural</v>
      </c>
      <c r="B333" s="3" t="str">
        <f>INDEX(Mapping!$V:$V,MATCH(C333,Mapping!$W:$W,0))</f>
        <v>SWV</v>
      </c>
      <c r="C333" t="s">
        <v>180</v>
      </c>
      <c r="D333">
        <v>1</v>
      </c>
      <c r="E333" s="20"/>
      <c r="F333" s="76">
        <v>164.78223740392826</v>
      </c>
      <c r="G333" s="76">
        <v>169.37318531169942</v>
      </c>
      <c r="H333" s="76">
        <v>161.83091374893255</v>
      </c>
      <c r="I333" s="76">
        <v>145.81639624252776</v>
      </c>
      <c r="J333" s="76">
        <v>166.85169325492814</v>
      </c>
      <c r="K333" s="76">
        <v>167.50894734406714</v>
      </c>
      <c r="L333" s="76">
        <v>168.28006877138097</v>
      </c>
      <c r="M333" s="76">
        <v>169.14684794615559</v>
      </c>
      <c r="N333" s="76">
        <v>169.98352740724701</v>
      </c>
      <c r="O333" s="76">
        <v>170.79776082285022</v>
      </c>
      <c r="P333" s="76">
        <v>171.63923516388462</v>
      </c>
      <c r="Q333" s="76">
        <v>172.48463546657447</v>
      </c>
      <c r="R333" s="76">
        <v>173.33459422253986</v>
      </c>
      <c r="S333" s="76">
        <v>174.17975471860805</v>
      </c>
      <c r="T333" s="76">
        <v>175.02476464914037</v>
      </c>
      <c r="U333" s="76">
        <v>175.86973484239914</v>
      </c>
      <c r="V333" s="76">
        <v>176.71559127408025</v>
      </c>
    </row>
    <row r="334" spans="1:22" x14ac:dyDescent="0.3">
      <c r="A334" s="3" t="str">
        <f>INDEX(Mapping!$Y:$Y,MATCH($C334,Mapping!$W:$W,0))</f>
        <v>Rural</v>
      </c>
      <c r="B334" s="3" t="str">
        <f>INDEX(Mapping!$V:$V,MATCH(C334,Mapping!$W:$W,0))</f>
        <v>SWV</v>
      </c>
      <c r="C334" t="s">
        <v>180</v>
      </c>
      <c r="D334">
        <v>2</v>
      </c>
      <c r="E334" s="20"/>
      <c r="F334" s="76">
        <v>145.9009393680615</v>
      </c>
      <c r="G334" s="76">
        <v>149.9658411614005</v>
      </c>
      <c r="H334" s="76">
        <v>143.28778821520069</v>
      </c>
      <c r="I334" s="76">
        <v>161.83091374893255</v>
      </c>
      <c r="J334" s="76">
        <v>145.81639624252776</v>
      </c>
      <c r="K334" s="76">
        <v>166.85169325492814</v>
      </c>
      <c r="L334" s="76">
        <v>167.50894734406714</v>
      </c>
      <c r="M334" s="76">
        <v>168.28006877138097</v>
      </c>
      <c r="N334" s="76">
        <v>169.14684794615559</v>
      </c>
      <c r="O334" s="76">
        <v>169.98352740724701</v>
      </c>
      <c r="P334" s="76">
        <v>170.79776082285022</v>
      </c>
      <c r="Q334" s="76">
        <v>171.63923516388462</v>
      </c>
      <c r="R334" s="76">
        <v>172.48463546657447</v>
      </c>
      <c r="S334" s="76">
        <v>173.33459422253986</v>
      </c>
      <c r="T334" s="76">
        <v>174.17975471860805</v>
      </c>
      <c r="U334" s="76">
        <v>175.02476464914037</v>
      </c>
      <c r="V334" s="76">
        <v>175.86973484239914</v>
      </c>
    </row>
    <row r="335" spans="1:22" x14ac:dyDescent="0.3">
      <c r="A335" s="3" t="str">
        <f>INDEX(Mapping!$Y:$Y,MATCH($C335,Mapping!$W:$W,0))</f>
        <v>Rural</v>
      </c>
      <c r="B335" s="3" t="str">
        <f>INDEX(Mapping!$V:$V,MATCH(C335,Mapping!$W:$W,0))</f>
        <v>SWV</v>
      </c>
      <c r="C335" t="s">
        <v>180</v>
      </c>
      <c r="D335">
        <v>3</v>
      </c>
      <c r="E335" s="20"/>
      <c r="F335" s="76">
        <v>178.51409052092228</v>
      </c>
      <c r="G335" s="76">
        <v>183.48761742100768</v>
      </c>
      <c r="H335" s="76">
        <v>175.31682322801024</v>
      </c>
      <c r="I335" s="76">
        <v>143.28778821520069</v>
      </c>
      <c r="J335" s="76">
        <v>161.83091374893255</v>
      </c>
      <c r="K335" s="76">
        <v>145.81639624252776</v>
      </c>
      <c r="L335" s="76">
        <v>166.85169325492814</v>
      </c>
      <c r="M335" s="76">
        <v>167.50894734406714</v>
      </c>
      <c r="N335" s="76">
        <v>168.28006877138097</v>
      </c>
      <c r="O335" s="76">
        <v>169.14684794615559</v>
      </c>
      <c r="P335" s="76">
        <v>169.98352740724701</v>
      </c>
      <c r="Q335" s="76">
        <v>170.79776082285022</v>
      </c>
      <c r="R335" s="76">
        <v>171.63923516388462</v>
      </c>
      <c r="S335" s="76">
        <v>172.48463546657447</v>
      </c>
      <c r="T335" s="76">
        <v>173.33459422253986</v>
      </c>
      <c r="U335" s="76">
        <v>174.17975471860805</v>
      </c>
      <c r="V335" s="76">
        <v>175.02476464914037</v>
      </c>
    </row>
    <row r="336" spans="1:22" x14ac:dyDescent="0.3">
      <c r="A336" s="3" t="str">
        <f>INDEX(Mapping!$Y:$Y,MATCH($C336,Mapping!$W:$W,0))</f>
        <v>Rural</v>
      </c>
      <c r="B336" s="3" t="str">
        <f>INDEX(Mapping!$V:$V,MATCH(C336,Mapping!$W:$W,0))</f>
        <v>SWV</v>
      </c>
      <c r="C336" t="s">
        <v>180</v>
      </c>
      <c r="D336">
        <v>4</v>
      </c>
      <c r="E336" s="20"/>
      <c r="F336" s="76">
        <v>193.96242527754058</v>
      </c>
      <c r="G336" s="76">
        <v>199.3663535439795</v>
      </c>
      <c r="H336" s="76">
        <v>190.48847139197267</v>
      </c>
      <c r="I336" s="76">
        <v>175.31682322801024</v>
      </c>
      <c r="J336" s="76">
        <v>143.28778821520069</v>
      </c>
      <c r="K336" s="76">
        <v>161.83091374893255</v>
      </c>
      <c r="L336" s="76">
        <v>145.81639624252776</v>
      </c>
      <c r="M336" s="76">
        <v>166.85169325492814</v>
      </c>
      <c r="N336" s="76">
        <v>167.50894734406714</v>
      </c>
      <c r="O336" s="76">
        <v>168.28006877138097</v>
      </c>
      <c r="P336" s="76">
        <v>169.14684794615559</v>
      </c>
      <c r="Q336" s="76">
        <v>169.98352740724701</v>
      </c>
      <c r="R336" s="76">
        <v>170.79776082285022</v>
      </c>
      <c r="S336" s="76">
        <v>171.63923516388462</v>
      </c>
      <c r="T336" s="76">
        <v>172.48463546657447</v>
      </c>
      <c r="U336" s="76">
        <v>173.33459422253986</v>
      </c>
      <c r="V336" s="76">
        <v>174.17975471860805</v>
      </c>
    </row>
    <row r="337" spans="1:22" x14ac:dyDescent="0.3">
      <c r="A337" s="3" t="str">
        <f>INDEX(Mapping!$Y:$Y,MATCH($C337,Mapping!$W:$W,0))</f>
        <v>Rural</v>
      </c>
      <c r="B337" s="3" t="str">
        <f>INDEX(Mapping!$V:$V,MATCH(C337,Mapping!$W:$W,0))</f>
        <v>SWV</v>
      </c>
      <c r="C337" t="s">
        <v>180</v>
      </c>
      <c r="D337">
        <v>5</v>
      </c>
      <c r="E337" s="20"/>
      <c r="F337" s="76">
        <v>215.28266438941077</v>
      </c>
      <c r="G337" s="76">
        <v>213.0401366353544</v>
      </c>
      <c r="H337" s="76">
        <v>210.45260461144323</v>
      </c>
      <c r="I337" s="76">
        <v>190.48847139197267</v>
      </c>
      <c r="J337" s="76">
        <v>175.31682322801024</v>
      </c>
      <c r="K337" s="76">
        <v>143.28778821520069</v>
      </c>
      <c r="L337" s="76">
        <v>161.83091374893255</v>
      </c>
      <c r="M337" s="76">
        <v>145.81639624252776</v>
      </c>
      <c r="N337" s="76">
        <v>166.85169325492814</v>
      </c>
      <c r="O337" s="76">
        <v>167.50894734406714</v>
      </c>
      <c r="P337" s="76">
        <v>168.28006877138097</v>
      </c>
      <c r="Q337" s="76">
        <v>169.14684794615559</v>
      </c>
      <c r="R337" s="76">
        <v>169.98352740724701</v>
      </c>
      <c r="S337" s="76">
        <v>170.79776082285022</v>
      </c>
      <c r="T337" s="76">
        <v>171.63923516388462</v>
      </c>
      <c r="U337" s="76">
        <v>172.48463546657447</v>
      </c>
      <c r="V337" s="76">
        <v>173.33459422253986</v>
      </c>
    </row>
    <row r="338" spans="1:22" x14ac:dyDescent="0.3">
      <c r="A338" s="3" t="str">
        <f>INDEX(Mapping!$Y:$Y,MATCH($C338,Mapping!$W:$W,0))</f>
        <v>Rural</v>
      </c>
      <c r="B338" s="3" t="str">
        <f>INDEX(Mapping!$V:$V,MATCH(C338,Mapping!$W:$W,0))</f>
        <v>NEV</v>
      </c>
      <c r="C338" t="s">
        <v>123</v>
      </c>
      <c r="D338">
        <v>0</v>
      </c>
      <c r="E338" s="20"/>
      <c r="F338" s="76">
        <v>98.738738738738732</v>
      </c>
      <c r="G338" s="76">
        <v>96.14414414414415</v>
      </c>
      <c r="H338" s="76">
        <v>98.018018018018012</v>
      </c>
      <c r="I338" s="76">
        <v>110.75202556424014</v>
      </c>
      <c r="J338" s="76">
        <v>111.61121515036265</v>
      </c>
      <c r="K338" s="76">
        <v>112.56190624812994</v>
      </c>
      <c r="L338" s="76">
        <v>113.53286003273314</v>
      </c>
      <c r="M338" s="76">
        <v>114.51435967218795</v>
      </c>
      <c r="N338" s="76">
        <v>115.51531625074171</v>
      </c>
      <c r="O338" s="76">
        <v>116.55286998310072</v>
      </c>
      <c r="P338" s="76">
        <v>117.57227188733594</v>
      </c>
      <c r="Q338" s="76">
        <v>118.57815004157598</v>
      </c>
      <c r="R338" s="76">
        <v>119.63968208526792</v>
      </c>
      <c r="S338" s="76">
        <v>120.7197395211516</v>
      </c>
      <c r="T338" s="76">
        <v>121.81549028095897</v>
      </c>
      <c r="U338" s="76">
        <v>122.92873923012303</v>
      </c>
      <c r="V338" s="76">
        <v>124.04708546395294</v>
      </c>
    </row>
    <row r="339" spans="1:22" x14ac:dyDescent="0.3">
      <c r="A339" s="3" t="str">
        <f>INDEX(Mapping!$Y:$Y,MATCH($C339,Mapping!$W:$W,0))</f>
        <v>Rural</v>
      </c>
      <c r="B339" s="3" t="str">
        <f>INDEX(Mapping!$V:$V,MATCH(C339,Mapping!$W:$W,0))</f>
        <v>NEV</v>
      </c>
      <c r="C339" t="s">
        <v>123</v>
      </c>
      <c r="D339">
        <v>1</v>
      </c>
      <c r="E339" s="20"/>
      <c r="F339" s="76">
        <v>104.9099099099099</v>
      </c>
      <c r="G339" s="76">
        <v>102.15315315315314</v>
      </c>
      <c r="H339" s="76">
        <v>104.14414414414414</v>
      </c>
      <c r="I339" s="76">
        <v>98.018018018018012</v>
      </c>
      <c r="J339" s="76">
        <v>110.75202556424014</v>
      </c>
      <c r="K339" s="76">
        <v>111.61121515036265</v>
      </c>
      <c r="L339" s="76">
        <v>112.56190624812994</v>
      </c>
      <c r="M339" s="76">
        <v>113.53286003273314</v>
      </c>
      <c r="N339" s="76">
        <v>114.51435967218795</v>
      </c>
      <c r="O339" s="76">
        <v>115.51531625074171</v>
      </c>
      <c r="P339" s="76">
        <v>116.55286998310072</v>
      </c>
      <c r="Q339" s="76">
        <v>117.57227188733594</v>
      </c>
      <c r="R339" s="76">
        <v>118.57815004157598</v>
      </c>
      <c r="S339" s="76">
        <v>119.63968208526792</v>
      </c>
      <c r="T339" s="76">
        <v>120.7197395211516</v>
      </c>
      <c r="U339" s="76">
        <v>121.81549028095897</v>
      </c>
      <c r="V339" s="76">
        <v>122.92873923012303</v>
      </c>
    </row>
    <row r="340" spans="1:22" x14ac:dyDescent="0.3">
      <c r="A340" s="3" t="str">
        <f>INDEX(Mapping!$Y:$Y,MATCH($C340,Mapping!$W:$W,0))</f>
        <v>Rural</v>
      </c>
      <c r="B340" s="3" t="str">
        <f>INDEX(Mapping!$V:$V,MATCH(C340,Mapping!$W:$W,0))</f>
        <v>NEV</v>
      </c>
      <c r="C340" t="s">
        <v>123</v>
      </c>
      <c r="D340">
        <v>2</v>
      </c>
      <c r="E340" s="20"/>
      <c r="F340" s="76">
        <v>106.67310167310167</v>
      </c>
      <c r="G340" s="76">
        <v>103.87001287001287</v>
      </c>
      <c r="H340" s="76">
        <v>105.8944658944659</v>
      </c>
      <c r="I340" s="76">
        <v>104.14414414414414</v>
      </c>
      <c r="J340" s="76">
        <v>98.018018018018012</v>
      </c>
      <c r="K340" s="76">
        <v>110.75202556424014</v>
      </c>
      <c r="L340" s="76">
        <v>111.61121515036265</v>
      </c>
      <c r="M340" s="76">
        <v>112.56190624812994</v>
      </c>
      <c r="N340" s="76">
        <v>113.53286003273314</v>
      </c>
      <c r="O340" s="76">
        <v>114.51435967218795</v>
      </c>
      <c r="P340" s="76">
        <v>115.51531625074171</v>
      </c>
      <c r="Q340" s="76">
        <v>116.55286998310072</v>
      </c>
      <c r="R340" s="76">
        <v>117.57227188733594</v>
      </c>
      <c r="S340" s="76">
        <v>118.57815004157598</v>
      </c>
      <c r="T340" s="76">
        <v>119.63968208526792</v>
      </c>
      <c r="U340" s="76">
        <v>120.7197395211516</v>
      </c>
      <c r="V340" s="76">
        <v>121.81549028095897</v>
      </c>
    </row>
    <row r="341" spans="1:22" x14ac:dyDescent="0.3">
      <c r="A341" s="3" t="str">
        <f>INDEX(Mapping!$Y:$Y,MATCH($C341,Mapping!$W:$W,0))</f>
        <v>Rural</v>
      </c>
      <c r="B341" s="3" t="str">
        <f>INDEX(Mapping!$V:$V,MATCH(C341,Mapping!$W:$W,0))</f>
        <v>NEV</v>
      </c>
      <c r="C341" t="s">
        <v>123</v>
      </c>
      <c r="D341">
        <v>3</v>
      </c>
      <c r="E341" s="20"/>
      <c r="F341" s="76">
        <v>117.25225225225225</v>
      </c>
      <c r="G341" s="76">
        <v>114.17117117117117</v>
      </c>
      <c r="H341" s="76">
        <v>116.3963963963964</v>
      </c>
      <c r="I341" s="76">
        <v>105.8944658944659</v>
      </c>
      <c r="J341" s="76">
        <v>104.14414414414414</v>
      </c>
      <c r="K341" s="76">
        <v>98.018018018018012</v>
      </c>
      <c r="L341" s="76">
        <v>110.75202556424014</v>
      </c>
      <c r="M341" s="76">
        <v>111.61121515036265</v>
      </c>
      <c r="N341" s="76">
        <v>112.56190624812994</v>
      </c>
      <c r="O341" s="76">
        <v>113.53286003273314</v>
      </c>
      <c r="P341" s="76">
        <v>114.51435967218795</v>
      </c>
      <c r="Q341" s="76">
        <v>115.51531625074171</v>
      </c>
      <c r="R341" s="76">
        <v>116.55286998310072</v>
      </c>
      <c r="S341" s="76">
        <v>117.57227188733594</v>
      </c>
      <c r="T341" s="76">
        <v>118.57815004157598</v>
      </c>
      <c r="U341" s="76">
        <v>119.63968208526792</v>
      </c>
      <c r="V341" s="76">
        <v>120.7197395211516</v>
      </c>
    </row>
    <row r="342" spans="1:22" x14ac:dyDescent="0.3">
      <c r="A342" s="3" t="str">
        <f>INDEX(Mapping!$Y:$Y,MATCH($C342,Mapping!$W:$W,0))</f>
        <v>Rural</v>
      </c>
      <c r="B342" s="3" t="str">
        <f>INDEX(Mapping!$V:$V,MATCH(C342,Mapping!$W:$W,0))</f>
        <v>NEV</v>
      </c>
      <c r="C342" t="s">
        <v>123</v>
      </c>
      <c r="D342">
        <v>4</v>
      </c>
      <c r="E342" s="20"/>
      <c r="F342" s="76">
        <v>120.77863577863577</v>
      </c>
      <c r="G342" s="76">
        <v>117.6048906048906</v>
      </c>
      <c r="H342" s="76">
        <v>119.8970398970399</v>
      </c>
      <c r="I342" s="76">
        <v>116.3963963963964</v>
      </c>
      <c r="J342" s="76">
        <v>105.8944658944659</v>
      </c>
      <c r="K342" s="76">
        <v>104.14414414414414</v>
      </c>
      <c r="L342" s="76">
        <v>98.018018018018012</v>
      </c>
      <c r="M342" s="76">
        <v>110.75202556424014</v>
      </c>
      <c r="N342" s="76">
        <v>111.61121515036265</v>
      </c>
      <c r="O342" s="76">
        <v>112.56190624812994</v>
      </c>
      <c r="P342" s="76">
        <v>113.53286003273314</v>
      </c>
      <c r="Q342" s="76">
        <v>114.51435967218795</v>
      </c>
      <c r="R342" s="76">
        <v>115.51531625074171</v>
      </c>
      <c r="S342" s="76">
        <v>116.55286998310072</v>
      </c>
      <c r="T342" s="76">
        <v>117.57227188733594</v>
      </c>
      <c r="U342" s="76">
        <v>118.57815004157598</v>
      </c>
      <c r="V342" s="76">
        <v>119.63968208526792</v>
      </c>
    </row>
    <row r="343" spans="1:22" x14ac:dyDescent="0.3">
      <c r="A343" s="3" t="str">
        <f>INDEX(Mapping!$Y:$Y,MATCH($C343,Mapping!$W:$W,0))</f>
        <v>Rural</v>
      </c>
      <c r="B343" s="3" t="str">
        <f>INDEX(Mapping!$V:$V,MATCH(C343,Mapping!$W:$W,0))</f>
        <v>NEV</v>
      </c>
      <c r="C343" t="s">
        <v>123</v>
      </c>
      <c r="D343">
        <v>5</v>
      </c>
      <c r="E343" s="20"/>
      <c r="F343" s="76">
        <v>164.57528957528959</v>
      </c>
      <c r="G343" s="76">
        <v>164.57528957528959</v>
      </c>
      <c r="H343" s="76">
        <v>163.97683397683397</v>
      </c>
      <c r="I343" s="76">
        <v>119.8970398970399</v>
      </c>
      <c r="J343" s="76">
        <v>116.3963963963964</v>
      </c>
      <c r="K343" s="76">
        <v>105.8944658944659</v>
      </c>
      <c r="L343" s="76">
        <v>104.14414414414414</v>
      </c>
      <c r="M343" s="76">
        <v>98.018018018018012</v>
      </c>
      <c r="N343" s="76">
        <v>110.75202556424014</v>
      </c>
      <c r="O343" s="76">
        <v>111.61121515036265</v>
      </c>
      <c r="P343" s="76">
        <v>112.56190624812994</v>
      </c>
      <c r="Q343" s="76">
        <v>113.53286003273314</v>
      </c>
      <c r="R343" s="76">
        <v>114.51435967218795</v>
      </c>
      <c r="S343" s="76">
        <v>115.51531625074171</v>
      </c>
      <c r="T343" s="76">
        <v>116.55286998310072</v>
      </c>
      <c r="U343" s="76">
        <v>117.57227188733594</v>
      </c>
      <c r="V343" s="76">
        <v>118.57815004157598</v>
      </c>
    </row>
    <row r="344" spans="1:22" x14ac:dyDescent="0.3">
      <c r="A344" s="3" t="str">
        <f>INDEX(Mapping!$Y:$Y,MATCH($C344,Mapping!$W:$W,0))</f>
        <v>Interface</v>
      </c>
      <c r="B344" s="3" t="str">
        <f>INDEX(Mapping!$V:$V,MATCH(C344,Mapping!$W:$W,0))</f>
        <v>NWV</v>
      </c>
      <c r="C344" t="s">
        <v>143</v>
      </c>
      <c r="D344">
        <v>0</v>
      </c>
      <c r="E344" s="20"/>
      <c r="F344" s="76">
        <v>492.69885799404165</v>
      </c>
      <c r="G344" s="76">
        <v>501.27234359483612</v>
      </c>
      <c r="H344" s="76">
        <v>497.12388282025813</v>
      </c>
      <c r="I344" s="76">
        <v>562.11086367269638</v>
      </c>
      <c r="J344" s="76">
        <v>564.16200254976366</v>
      </c>
      <c r="K344" s="76">
        <v>566.84112927240881</v>
      </c>
      <c r="L344" s="76">
        <v>569.49388315192482</v>
      </c>
      <c r="M344" s="76">
        <v>572.27003946385923</v>
      </c>
      <c r="N344" s="76">
        <v>575.16479847730204</v>
      </c>
      <c r="O344" s="76">
        <v>578.1414708599375</v>
      </c>
      <c r="P344" s="76">
        <v>580.85810200289984</v>
      </c>
      <c r="Q344" s="76">
        <v>583.69498601400483</v>
      </c>
      <c r="R344" s="76">
        <v>586.66830323710383</v>
      </c>
      <c r="S344" s="76">
        <v>589.80441917673147</v>
      </c>
      <c r="T344" s="76">
        <v>593.03969486134861</v>
      </c>
      <c r="U344" s="76">
        <v>596.3553791344915</v>
      </c>
      <c r="V344" s="76">
        <v>599.83911273856688</v>
      </c>
    </row>
    <row r="345" spans="1:22" x14ac:dyDescent="0.3">
      <c r="A345" s="3" t="str">
        <f>INDEX(Mapping!$Y:$Y,MATCH($C345,Mapping!$W:$W,0))</f>
        <v>Interface</v>
      </c>
      <c r="B345" s="3" t="str">
        <f>INDEX(Mapping!$V:$V,MATCH(C345,Mapping!$W:$W,0))</f>
        <v>NWV</v>
      </c>
      <c r="C345" t="s">
        <v>143</v>
      </c>
      <c r="D345">
        <v>1</v>
      </c>
      <c r="E345" s="20"/>
      <c r="F345" s="76">
        <v>532.50397219463753</v>
      </c>
      <c r="G345" s="76">
        <v>541.77010923535261</v>
      </c>
      <c r="H345" s="76">
        <v>537.28649453823243</v>
      </c>
      <c r="I345" s="76">
        <v>497.12388282025813</v>
      </c>
      <c r="J345" s="76">
        <v>562.11086367269638</v>
      </c>
      <c r="K345" s="76">
        <v>564.16200254976366</v>
      </c>
      <c r="L345" s="76">
        <v>566.84112927240881</v>
      </c>
      <c r="M345" s="76">
        <v>569.49388315192482</v>
      </c>
      <c r="N345" s="76">
        <v>572.27003946385923</v>
      </c>
      <c r="O345" s="76">
        <v>575.16479847730204</v>
      </c>
      <c r="P345" s="76">
        <v>578.1414708599375</v>
      </c>
      <c r="Q345" s="76">
        <v>580.85810200289984</v>
      </c>
      <c r="R345" s="76">
        <v>583.69498601400483</v>
      </c>
      <c r="S345" s="76">
        <v>586.66830323710383</v>
      </c>
      <c r="T345" s="76">
        <v>589.80441917673147</v>
      </c>
      <c r="U345" s="76">
        <v>593.03969486134861</v>
      </c>
      <c r="V345" s="76">
        <v>596.3553791344915</v>
      </c>
    </row>
    <row r="346" spans="1:22" x14ac:dyDescent="0.3">
      <c r="A346" s="3" t="str">
        <f>INDEX(Mapping!$Y:$Y,MATCH($C346,Mapping!$W:$W,0))</f>
        <v>Interface</v>
      </c>
      <c r="B346" s="3" t="str">
        <f>INDEX(Mapping!$V:$V,MATCH(C346,Mapping!$W:$W,0))</f>
        <v>NWV</v>
      </c>
      <c r="C346" t="s">
        <v>143</v>
      </c>
      <c r="D346">
        <v>2</v>
      </c>
      <c r="E346" s="20"/>
      <c r="F346" s="76">
        <v>575.84731876861963</v>
      </c>
      <c r="G346" s="76">
        <v>585.8676762661371</v>
      </c>
      <c r="H346" s="76">
        <v>581.01911618669317</v>
      </c>
      <c r="I346" s="76">
        <v>537.28649453823243</v>
      </c>
      <c r="J346" s="76">
        <v>497.12388282025813</v>
      </c>
      <c r="K346" s="76">
        <v>562.11086367269638</v>
      </c>
      <c r="L346" s="76">
        <v>564.16200254976366</v>
      </c>
      <c r="M346" s="76">
        <v>566.84112927240881</v>
      </c>
      <c r="N346" s="76">
        <v>569.49388315192482</v>
      </c>
      <c r="O346" s="76">
        <v>572.27003946385923</v>
      </c>
      <c r="P346" s="76">
        <v>575.16479847730204</v>
      </c>
      <c r="Q346" s="76">
        <v>578.1414708599375</v>
      </c>
      <c r="R346" s="76">
        <v>580.85810200289984</v>
      </c>
      <c r="S346" s="76">
        <v>583.69498601400483</v>
      </c>
      <c r="T346" s="76">
        <v>586.66830323710383</v>
      </c>
      <c r="U346" s="76">
        <v>589.80441917673147</v>
      </c>
      <c r="V346" s="76">
        <v>593.03969486134861</v>
      </c>
    </row>
    <row r="347" spans="1:22" x14ac:dyDescent="0.3">
      <c r="A347" s="3" t="str">
        <f>INDEX(Mapping!$Y:$Y,MATCH($C347,Mapping!$W:$W,0))</f>
        <v>Interface</v>
      </c>
      <c r="B347" s="3" t="str">
        <f>INDEX(Mapping!$V:$V,MATCH(C347,Mapping!$W:$W,0))</f>
        <v>NWV</v>
      </c>
      <c r="C347" t="s">
        <v>143</v>
      </c>
      <c r="D347">
        <v>3</v>
      </c>
      <c r="E347" s="20"/>
      <c r="F347" s="76">
        <v>613.88331678252234</v>
      </c>
      <c r="G347" s="76">
        <v>624.5655412115193</v>
      </c>
      <c r="H347" s="76">
        <v>619.39672293942397</v>
      </c>
      <c r="I347" s="76">
        <v>581.01911618669317</v>
      </c>
      <c r="J347" s="76">
        <v>537.28649453823243</v>
      </c>
      <c r="K347" s="76">
        <v>497.12388282025813</v>
      </c>
      <c r="L347" s="76">
        <v>562.11086367269638</v>
      </c>
      <c r="M347" s="76">
        <v>564.16200254976366</v>
      </c>
      <c r="N347" s="76">
        <v>566.84112927240881</v>
      </c>
      <c r="O347" s="76">
        <v>569.49388315192482</v>
      </c>
      <c r="P347" s="76">
        <v>572.27003946385923</v>
      </c>
      <c r="Q347" s="76">
        <v>575.16479847730204</v>
      </c>
      <c r="R347" s="76">
        <v>578.1414708599375</v>
      </c>
      <c r="S347" s="76">
        <v>580.85810200289984</v>
      </c>
      <c r="T347" s="76">
        <v>583.69498601400483</v>
      </c>
      <c r="U347" s="76">
        <v>586.66830323710383</v>
      </c>
      <c r="V347" s="76">
        <v>589.80441917673147</v>
      </c>
    </row>
    <row r="348" spans="1:22" x14ac:dyDescent="0.3">
      <c r="A348" s="3" t="str">
        <f>INDEX(Mapping!$Y:$Y,MATCH($C348,Mapping!$W:$W,0))</f>
        <v>Interface</v>
      </c>
      <c r="B348" s="3" t="str">
        <f>INDEX(Mapping!$V:$V,MATCH(C348,Mapping!$W:$W,0))</f>
        <v>NWV</v>
      </c>
      <c r="C348" t="s">
        <v>143</v>
      </c>
      <c r="D348">
        <v>4</v>
      </c>
      <c r="E348" s="20"/>
      <c r="F348" s="76">
        <v>673.14870903674273</v>
      </c>
      <c r="G348" s="76">
        <v>684.86221449851041</v>
      </c>
      <c r="H348" s="76">
        <v>679.1943892750744</v>
      </c>
      <c r="I348" s="76">
        <v>619.39672293942397</v>
      </c>
      <c r="J348" s="76">
        <v>581.01911618669317</v>
      </c>
      <c r="K348" s="76">
        <v>537.28649453823243</v>
      </c>
      <c r="L348" s="76">
        <v>497.12388282025813</v>
      </c>
      <c r="M348" s="76">
        <v>562.11086367269638</v>
      </c>
      <c r="N348" s="76">
        <v>564.16200254976366</v>
      </c>
      <c r="O348" s="76">
        <v>566.84112927240881</v>
      </c>
      <c r="P348" s="76">
        <v>569.49388315192482</v>
      </c>
      <c r="Q348" s="76">
        <v>572.27003946385923</v>
      </c>
      <c r="R348" s="76">
        <v>575.16479847730204</v>
      </c>
      <c r="S348" s="76">
        <v>578.1414708599375</v>
      </c>
      <c r="T348" s="76">
        <v>580.85810200289984</v>
      </c>
      <c r="U348" s="76">
        <v>583.69498601400483</v>
      </c>
      <c r="V348" s="76">
        <v>586.66830323710383</v>
      </c>
    </row>
    <row r="349" spans="1:22" x14ac:dyDescent="0.3">
      <c r="A349" s="3" t="str">
        <f>INDEX(Mapping!$Y:$Y,MATCH($C349,Mapping!$W:$W,0))</f>
        <v>Interface</v>
      </c>
      <c r="B349" s="3" t="str">
        <f>INDEX(Mapping!$V:$V,MATCH(C349,Mapping!$W:$W,0))</f>
        <v>NWV</v>
      </c>
      <c r="C349" t="s">
        <v>143</v>
      </c>
      <c r="D349">
        <v>5</v>
      </c>
      <c r="E349" s="20"/>
      <c r="F349" s="76">
        <v>843.12636544190661</v>
      </c>
      <c r="G349" s="76">
        <v>851.65044687189675</v>
      </c>
      <c r="H349" s="76">
        <v>866.23609731876854</v>
      </c>
      <c r="I349" s="76">
        <v>679.1943892750744</v>
      </c>
      <c r="J349" s="76">
        <v>619.39672293942397</v>
      </c>
      <c r="K349" s="76">
        <v>581.01911618669317</v>
      </c>
      <c r="L349" s="76">
        <v>537.28649453823243</v>
      </c>
      <c r="M349" s="76">
        <v>497.12388282025813</v>
      </c>
      <c r="N349" s="76">
        <v>562.11086367269638</v>
      </c>
      <c r="O349" s="76">
        <v>564.16200254976366</v>
      </c>
      <c r="P349" s="76">
        <v>566.84112927240881</v>
      </c>
      <c r="Q349" s="76">
        <v>569.49388315192482</v>
      </c>
      <c r="R349" s="76">
        <v>572.27003946385923</v>
      </c>
      <c r="S349" s="76">
        <v>575.16479847730204</v>
      </c>
      <c r="T349" s="76">
        <v>578.1414708599375</v>
      </c>
      <c r="U349" s="76">
        <v>580.85810200289984</v>
      </c>
      <c r="V349" s="76">
        <v>583.69498601400483</v>
      </c>
    </row>
    <row r="350" spans="1:22" x14ac:dyDescent="0.3">
      <c r="A350" s="3" t="str">
        <f>INDEX(Mapping!$Y:$Y,MATCH($C350,Mapping!$W:$W,0))</f>
        <v>Rural</v>
      </c>
      <c r="B350" s="3" t="str">
        <f>INDEX(Mapping!$V:$V,MATCH(C350,Mapping!$W:$W,0))</f>
        <v>SWV</v>
      </c>
      <c r="C350" t="s">
        <v>181</v>
      </c>
      <c r="D350">
        <v>0</v>
      </c>
      <c r="E350" s="20"/>
      <c r="F350" s="76">
        <v>100.74481658692184</v>
      </c>
      <c r="G350" s="76">
        <v>100.74481658692184</v>
      </c>
      <c r="H350" s="76">
        <v>103.26794258373205</v>
      </c>
      <c r="I350" s="76">
        <v>109.59262960186003</v>
      </c>
      <c r="J350" s="76">
        <v>108.99175675886278</v>
      </c>
      <c r="K350" s="76">
        <v>108.55526852692114</v>
      </c>
      <c r="L350" s="76">
        <v>108.16871567343217</v>
      </c>
      <c r="M350" s="76">
        <v>107.77003737079588</v>
      </c>
      <c r="N350" s="76">
        <v>107.38522370859559</v>
      </c>
      <c r="O350" s="76">
        <v>107.02268159359858</v>
      </c>
      <c r="P350" s="76">
        <v>106.66441409061126</v>
      </c>
      <c r="Q350" s="76">
        <v>106.33968503487358</v>
      </c>
      <c r="R350" s="76">
        <v>106.07182513007227</v>
      </c>
      <c r="S350" s="76">
        <v>105.81461952294512</v>
      </c>
      <c r="T350" s="76">
        <v>105.60596391738092</v>
      </c>
      <c r="U350" s="76">
        <v>105.42560357136834</v>
      </c>
      <c r="V350" s="76">
        <v>105.25245737989809</v>
      </c>
    </row>
    <row r="351" spans="1:22" x14ac:dyDescent="0.3">
      <c r="A351" s="3" t="str">
        <f>INDEX(Mapping!$Y:$Y,MATCH($C351,Mapping!$W:$W,0))</f>
        <v>Rural</v>
      </c>
      <c r="B351" s="3" t="str">
        <f>INDEX(Mapping!$V:$V,MATCH(C351,Mapping!$W:$W,0))</f>
        <v>SWV</v>
      </c>
      <c r="C351" t="s">
        <v>181</v>
      </c>
      <c r="D351">
        <v>1</v>
      </c>
      <c r="E351" s="20"/>
      <c r="F351" s="76">
        <v>87.371610845295052</v>
      </c>
      <c r="G351" s="76">
        <v>87.371610845295052</v>
      </c>
      <c r="H351" s="76">
        <v>89.559808612440193</v>
      </c>
      <c r="I351" s="76">
        <v>103.26794258373205</v>
      </c>
      <c r="J351" s="76">
        <v>109.59262960186003</v>
      </c>
      <c r="K351" s="76">
        <v>108.99175675886278</v>
      </c>
      <c r="L351" s="76">
        <v>108.55526852692114</v>
      </c>
      <c r="M351" s="76">
        <v>108.16871567343217</v>
      </c>
      <c r="N351" s="76">
        <v>107.77003737079588</v>
      </c>
      <c r="O351" s="76">
        <v>107.38522370859559</v>
      </c>
      <c r="P351" s="76">
        <v>107.02268159359858</v>
      </c>
      <c r="Q351" s="76">
        <v>106.66441409061126</v>
      </c>
      <c r="R351" s="76">
        <v>106.33968503487358</v>
      </c>
      <c r="S351" s="76">
        <v>106.07182513007227</v>
      </c>
      <c r="T351" s="76">
        <v>105.81461952294512</v>
      </c>
      <c r="U351" s="76">
        <v>105.60596391738092</v>
      </c>
      <c r="V351" s="76">
        <v>105.42560357136834</v>
      </c>
    </row>
    <row r="352" spans="1:22" x14ac:dyDescent="0.3">
      <c r="A352" s="3" t="str">
        <f>INDEX(Mapping!$Y:$Y,MATCH($C352,Mapping!$W:$W,0))</f>
        <v>Rural</v>
      </c>
      <c r="B352" s="3" t="str">
        <f>INDEX(Mapping!$V:$V,MATCH(C352,Mapping!$W:$W,0))</f>
        <v>SWV</v>
      </c>
      <c r="C352" t="s">
        <v>181</v>
      </c>
      <c r="D352">
        <v>2</v>
      </c>
      <c r="E352" s="20"/>
      <c r="F352" s="76">
        <v>98.070175438596479</v>
      </c>
      <c r="G352" s="76">
        <v>98.070175438596479</v>
      </c>
      <c r="H352" s="76">
        <v>100.52631578947368</v>
      </c>
      <c r="I352" s="76">
        <v>89.559808612440193</v>
      </c>
      <c r="J352" s="76">
        <v>103.26794258373205</v>
      </c>
      <c r="K352" s="76">
        <v>109.59262960186003</v>
      </c>
      <c r="L352" s="76">
        <v>108.99175675886278</v>
      </c>
      <c r="M352" s="76">
        <v>108.55526852692114</v>
      </c>
      <c r="N352" s="76">
        <v>108.16871567343217</v>
      </c>
      <c r="O352" s="76">
        <v>107.77003737079588</v>
      </c>
      <c r="P352" s="76">
        <v>107.38522370859559</v>
      </c>
      <c r="Q352" s="76">
        <v>107.02268159359858</v>
      </c>
      <c r="R352" s="76">
        <v>106.66441409061126</v>
      </c>
      <c r="S352" s="76">
        <v>106.33968503487358</v>
      </c>
      <c r="T352" s="76">
        <v>106.07182513007227</v>
      </c>
      <c r="U352" s="76">
        <v>105.81461952294512</v>
      </c>
      <c r="V352" s="76">
        <v>105.60596391738092</v>
      </c>
    </row>
    <row r="353" spans="1:22" x14ac:dyDescent="0.3">
      <c r="A353" s="3" t="str">
        <f>INDEX(Mapping!$Y:$Y,MATCH($C353,Mapping!$W:$W,0))</f>
        <v>Rural</v>
      </c>
      <c r="B353" s="3" t="str">
        <f>INDEX(Mapping!$V:$V,MATCH(C353,Mapping!$W:$W,0))</f>
        <v>SWV</v>
      </c>
      <c r="C353" t="s">
        <v>181</v>
      </c>
      <c r="D353">
        <v>3</v>
      </c>
      <c r="E353" s="20"/>
      <c r="F353" s="76">
        <v>91.829346092503997</v>
      </c>
      <c r="G353" s="76">
        <v>91.829346092503997</v>
      </c>
      <c r="H353" s="76">
        <v>94.129186602870817</v>
      </c>
      <c r="I353" s="76">
        <v>100.52631578947368</v>
      </c>
      <c r="J353" s="76">
        <v>89.559808612440193</v>
      </c>
      <c r="K353" s="76">
        <v>103.26794258373205</v>
      </c>
      <c r="L353" s="76">
        <v>109.59262960186003</v>
      </c>
      <c r="M353" s="76">
        <v>108.99175675886278</v>
      </c>
      <c r="N353" s="76">
        <v>108.55526852692114</v>
      </c>
      <c r="O353" s="76">
        <v>108.16871567343217</v>
      </c>
      <c r="P353" s="76">
        <v>107.77003737079588</v>
      </c>
      <c r="Q353" s="76">
        <v>107.38522370859559</v>
      </c>
      <c r="R353" s="76">
        <v>107.02268159359858</v>
      </c>
      <c r="S353" s="76">
        <v>106.66441409061126</v>
      </c>
      <c r="T353" s="76">
        <v>106.33968503487358</v>
      </c>
      <c r="U353" s="76">
        <v>106.07182513007227</v>
      </c>
      <c r="V353" s="76">
        <v>105.81461952294512</v>
      </c>
    </row>
    <row r="354" spans="1:22" x14ac:dyDescent="0.3">
      <c r="A354" s="3" t="str">
        <f>INDEX(Mapping!$Y:$Y,MATCH($C354,Mapping!$W:$W,0))</f>
        <v>Rural</v>
      </c>
      <c r="B354" s="3" t="str">
        <f>INDEX(Mapping!$V:$V,MATCH(C354,Mapping!$W:$W,0))</f>
        <v>SWV</v>
      </c>
      <c r="C354" t="s">
        <v>181</v>
      </c>
      <c r="D354">
        <v>4</v>
      </c>
      <c r="E354" s="20"/>
      <c r="F354" s="76">
        <v>84.696969696969703</v>
      </c>
      <c r="G354" s="76">
        <v>84.696969696969703</v>
      </c>
      <c r="H354" s="76">
        <v>86.818181818181827</v>
      </c>
      <c r="I354" s="76">
        <v>94.129186602870817</v>
      </c>
      <c r="J354" s="76">
        <v>100.52631578947368</v>
      </c>
      <c r="K354" s="76">
        <v>89.559808612440193</v>
      </c>
      <c r="L354" s="76">
        <v>103.26794258373205</v>
      </c>
      <c r="M354" s="76">
        <v>109.59262960186003</v>
      </c>
      <c r="N354" s="76">
        <v>108.99175675886278</v>
      </c>
      <c r="O354" s="76">
        <v>108.55526852692114</v>
      </c>
      <c r="P354" s="76">
        <v>108.16871567343217</v>
      </c>
      <c r="Q354" s="76">
        <v>107.77003737079588</v>
      </c>
      <c r="R354" s="76">
        <v>107.38522370859559</v>
      </c>
      <c r="S354" s="76">
        <v>107.02268159359858</v>
      </c>
      <c r="T354" s="76">
        <v>106.66441409061126</v>
      </c>
      <c r="U354" s="76">
        <v>106.33968503487358</v>
      </c>
      <c r="V354" s="76">
        <v>106.07182513007227</v>
      </c>
    </row>
    <row r="355" spans="1:22" x14ac:dyDescent="0.3">
      <c r="A355" s="3" t="str">
        <f>INDEX(Mapping!$Y:$Y,MATCH($C355,Mapping!$W:$W,0))</f>
        <v>Rural</v>
      </c>
      <c r="B355" s="3" t="str">
        <f>INDEX(Mapping!$V:$V,MATCH(C355,Mapping!$W:$W,0))</f>
        <v>SWV</v>
      </c>
      <c r="C355" t="s">
        <v>181</v>
      </c>
      <c r="D355">
        <v>5</v>
      </c>
      <c r="E355" s="20"/>
      <c r="F355" s="76">
        <v>103.52153110047847</v>
      </c>
      <c r="G355" s="76">
        <v>99.215311004784695</v>
      </c>
      <c r="H355" s="76">
        <v>95.770334928229673</v>
      </c>
      <c r="I355" s="76">
        <v>86.818181818181827</v>
      </c>
      <c r="J355" s="76">
        <v>94.129186602870817</v>
      </c>
      <c r="K355" s="76">
        <v>100.52631578947368</v>
      </c>
      <c r="L355" s="76">
        <v>89.559808612440193</v>
      </c>
      <c r="M355" s="76">
        <v>103.26794258373205</v>
      </c>
      <c r="N355" s="76">
        <v>109.59262960186003</v>
      </c>
      <c r="O355" s="76">
        <v>108.99175675886278</v>
      </c>
      <c r="P355" s="76">
        <v>108.55526852692114</v>
      </c>
      <c r="Q355" s="76">
        <v>108.16871567343217</v>
      </c>
      <c r="R355" s="76">
        <v>107.77003737079588</v>
      </c>
      <c r="S355" s="76">
        <v>107.38522370859559</v>
      </c>
      <c r="T355" s="76">
        <v>107.02268159359858</v>
      </c>
      <c r="U355" s="76">
        <v>106.66441409061126</v>
      </c>
      <c r="V355" s="76">
        <v>106.33968503487358</v>
      </c>
    </row>
    <row r="356" spans="1:22" x14ac:dyDescent="0.3">
      <c r="A356" s="3" t="str">
        <f>INDEX(Mapping!$Y:$Y,MATCH($C356,Mapping!$W:$W,0))</f>
        <v>Metro</v>
      </c>
      <c r="B356" s="3" t="str">
        <f>INDEX(Mapping!$V:$V,MATCH(C356,Mapping!$W:$W,0))</f>
        <v>SEV</v>
      </c>
      <c r="C356" t="s">
        <v>159</v>
      </c>
      <c r="D356">
        <v>0</v>
      </c>
      <c r="E356" s="20"/>
      <c r="F356" s="76">
        <v>1110.0921561730565</v>
      </c>
      <c r="G356" s="76">
        <v>1116.6317270488919</v>
      </c>
      <c r="H356" s="76">
        <v>1126.2367217727751</v>
      </c>
      <c r="I356" s="76">
        <v>1291.0151165223833</v>
      </c>
      <c r="J356" s="76">
        <v>1316.2982577050975</v>
      </c>
      <c r="K356" s="76">
        <v>1340.5540012291078</v>
      </c>
      <c r="L356" s="76">
        <v>1365.7919303827548</v>
      </c>
      <c r="M356" s="76">
        <v>1392.3796457941821</v>
      </c>
      <c r="N356" s="76">
        <v>1418.6470127285436</v>
      </c>
      <c r="O356" s="76">
        <v>1445.5997404192608</v>
      </c>
      <c r="P356" s="76">
        <v>1475.0342715392835</v>
      </c>
      <c r="Q356" s="76">
        <v>1504.8315911835007</v>
      </c>
      <c r="R356" s="76">
        <v>1533.4057871037342</v>
      </c>
      <c r="S356" s="76">
        <v>1560.8202492172916</v>
      </c>
      <c r="T356" s="76">
        <v>1587.7671729160936</v>
      </c>
      <c r="U356" s="76">
        <v>1615.261694938016</v>
      </c>
      <c r="V356" s="76">
        <v>1643.5193142197411</v>
      </c>
    </row>
    <row r="357" spans="1:22" x14ac:dyDescent="0.3">
      <c r="A357" s="3" t="str">
        <f>INDEX(Mapping!$Y:$Y,MATCH($C357,Mapping!$W:$W,0))</f>
        <v>Metro</v>
      </c>
      <c r="B357" s="3" t="str">
        <f>INDEX(Mapping!$V:$V,MATCH(C357,Mapping!$W:$W,0))</f>
        <v>SEV</v>
      </c>
      <c r="C357" t="s">
        <v>159</v>
      </c>
      <c r="D357">
        <v>1</v>
      </c>
      <c r="E357" s="20"/>
      <c r="F357" s="76">
        <v>962.01618009145272</v>
      </c>
      <c r="G357" s="76">
        <v>967.68343299331696</v>
      </c>
      <c r="H357" s="76">
        <v>976.00721069293002</v>
      </c>
      <c r="I357" s="76">
        <v>1126.2367217727751</v>
      </c>
      <c r="J357" s="76">
        <v>1291.0151165223833</v>
      </c>
      <c r="K357" s="76">
        <v>1316.2982577050975</v>
      </c>
      <c r="L357" s="76">
        <v>1340.5540012291078</v>
      </c>
      <c r="M357" s="76">
        <v>1365.7919303827548</v>
      </c>
      <c r="N357" s="76">
        <v>1392.3796457941821</v>
      </c>
      <c r="O357" s="76">
        <v>1418.6470127285436</v>
      </c>
      <c r="P357" s="76">
        <v>1445.5997404192608</v>
      </c>
      <c r="Q357" s="76">
        <v>1475.0342715392835</v>
      </c>
      <c r="R357" s="76">
        <v>1504.8315911835007</v>
      </c>
      <c r="S357" s="76">
        <v>1533.4057871037342</v>
      </c>
      <c r="T357" s="76">
        <v>1560.8202492172916</v>
      </c>
      <c r="U357" s="76">
        <v>1587.7671729160936</v>
      </c>
      <c r="V357" s="76">
        <v>1615.261694938016</v>
      </c>
    </row>
    <row r="358" spans="1:22" x14ac:dyDescent="0.3">
      <c r="A358" s="3" t="str">
        <f>INDEX(Mapping!$Y:$Y,MATCH($C358,Mapping!$W:$W,0))</f>
        <v>Metro</v>
      </c>
      <c r="B358" s="3" t="str">
        <f>INDEX(Mapping!$V:$V,MATCH(C358,Mapping!$W:$W,0))</f>
        <v>SEV</v>
      </c>
      <c r="C358" t="s">
        <v>159</v>
      </c>
      <c r="D358">
        <v>2</v>
      </c>
      <c r="E358" s="20"/>
      <c r="F358" s="76">
        <v>940.04361589869859</v>
      </c>
      <c r="G358" s="76">
        <v>945.58142806894125</v>
      </c>
      <c r="H358" s="76">
        <v>953.71508969398519</v>
      </c>
      <c r="I358" s="76">
        <v>976.00721069293002</v>
      </c>
      <c r="J358" s="76">
        <v>1126.2367217727751</v>
      </c>
      <c r="K358" s="76">
        <v>1291.0151165223833</v>
      </c>
      <c r="L358" s="76">
        <v>1316.2982577050975</v>
      </c>
      <c r="M358" s="76">
        <v>1340.5540012291078</v>
      </c>
      <c r="N358" s="76">
        <v>1365.7919303827548</v>
      </c>
      <c r="O358" s="76">
        <v>1392.3796457941821</v>
      </c>
      <c r="P358" s="76">
        <v>1418.6470127285436</v>
      </c>
      <c r="Q358" s="76">
        <v>1445.5997404192608</v>
      </c>
      <c r="R358" s="76">
        <v>1475.0342715392835</v>
      </c>
      <c r="S358" s="76">
        <v>1504.8315911835007</v>
      </c>
      <c r="T358" s="76">
        <v>1533.4057871037342</v>
      </c>
      <c r="U358" s="76">
        <v>1560.8202492172916</v>
      </c>
      <c r="V358" s="76">
        <v>1587.7671729160936</v>
      </c>
    </row>
    <row r="359" spans="1:22" x14ac:dyDescent="0.3">
      <c r="A359" s="3" t="str">
        <f>INDEX(Mapping!$Y:$Y,MATCH($C359,Mapping!$W:$W,0))</f>
        <v>Metro</v>
      </c>
      <c r="B359" s="3" t="str">
        <f>INDEX(Mapping!$V:$V,MATCH(C359,Mapping!$W:$W,0))</f>
        <v>SEV</v>
      </c>
      <c r="C359" t="s">
        <v>159</v>
      </c>
      <c r="D359">
        <v>3</v>
      </c>
      <c r="E359" s="20"/>
      <c r="F359" s="76">
        <v>883.67921209989447</v>
      </c>
      <c r="G359" s="76">
        <v>888.88498065423846</v>
      </c>
      <c r="H359" s="76">
        <v>896.53095321843125</v>
      </c>
      <c r="I359" s="76">
        <v>953.71508969398519</v>
      </c>
      <c r="J359" s="76">
        <v>976.00721069293002</v>
      </c>
      <c r="K359" s="76">
        <v>1126.2367217727751</v>
      </c>
      <c r="L359" s="76">
        <v>1291.0151165223833</v>
      </c>
      <c r="M359" s="76">
        <v>1316.2982577050975</v>
      </c>
      <c r="N359" s="76">
        <v>1340.5540012291078</v>
      </c>
      <c r="O359" s="76">
        <v>1365.7919303827548</v>
      </c>
      <c r="P359" s="76">
        <v>1392.3796457941821</v>
      </c>
      <c r="Q359" s="76">
        <v>1418.6470127285436</v>
      </c>
      <c r="R359" s="76">
        <v>1445.5997404192608</v>
      </c>
      <c r="S359" s="76">
        <v>1475.0342715392835</v>
      </c>
      <c r="T359" s="76">
        <v>1504.8315911835007</v>
      </c>
      <c r="U359" s="76">
        <v>1533.4057871037342</v>
      </c>
      <c r="V359" s="76">
        <v>1560.8202492172916</v>
      </c>
    </row>
    <row r="360" spans="1:22" x14ac:dyDescent="0.3">
      <c r="A360" s="3" t="str">
        <f>INDEX(Mapping!$Y:$Y,MATCH($C360,Mapping!$W:$W,0))</f>
        <v>Metro</v>
      </c>
      <c r="B360" s="3" t="str">
        <f>INDEX(Mapping!$V:$V,MATCH(C360,Mapping!$W:$W,0))</f>
        <v>SEV</v>
      </c>
      <c r="C360" t="s">
        <v>159</v>
      </c>
      <c r="D360">
        <v>4</v>
      </c>
      <c r="E360" s="20"/>
      <c r="F360" s="76">
        <v>775.72704889201543</v>
      </c>
      <c r="G360" s="76">
        <v>780.29686950404505</v>
      </c>
      <c r="H360" s="76">
        <v>787.00879352796335</v>
      </c>
      <c r="I360" s="76">
        <v>896.53095321843125</v>
      </c>
      <c r="J360" s="76">
        <v>953.71508969398519</v>
      </c>
      <c r="K360" s="76">
        <v>976.00721069293002</v>
      </c>
      <c r="L360" s="76">
        <v>1126.2367217727751</v>
      </c>
      <c r="M360" s="76">
        <v>1291.0151165223833</v>
      </c>
      <c r="N360" s="76">
        <v>1316.2982577050975</v>
      </c>
      <c r="O360" s="76">
        <v>1340.5540012291078</v>
      </c>
      <c r="P360" s="76">
        <v>1365.7919303827548</v>
      </c>
      <c r="Q360" s="76">
        <v>1392.3796457941821</v>
      </c>
      <c r="R360" s="76">
        <v>1418.6470127285436</v>
      </c>
      <c r="S360" s="76">
        <v>1445.5997404192608</v>
      </c>
      <c r="T360" s="76">
        <v>1475.0342715392835</v>
      </c>
      <c r="U360" s="76">
        <v>1504.8315911835007</v>
      </c>
      <c r="V360" s="76">
        <v>1533.4057871037342</v>
      </c>
    </row>
    <row r="361" spans="1:22" x14ac:dyDescent="0.3">
      <c r="A361" s="3" t="str">
        <f>INDEX(Mapping!$Y:$Y,MATCH($C361,Mapping!$W:$W,0))</f>
        <v>Metro</v>
      </c>
      <c r="B361" s="3" t="str">
        <f>INDEX(Mapping!$V:$V,MATCH(C361,Mapping!$W:$W,0))</f>
        <v>SEV</v>
      </c>
      <c r="C361" t="s">
        <v>159</v>
      </c>
      <c r="D361">
        <v>5</v>
      </c>
      <c r="E361" s="20"/>
      <c r="F361" s="76">
        <v>563.75167077031301</v>
      </c>
      <c r="G361" s="76">
        <v>578.17094618360886</v>
      </c>
      <c r="H361" s="76">
        <v>582.65072106929301</v>
      </c>
      <c r="I361" s="76">
        <v>787.00879352796335</v>
      </c>
      <c r="J361" s="76">
        <v>896.53095321843125</v>
      </c>
      <c r="K361" s="76">
        <v>953.71508969398519</v>
      </c>
      <c r="L361" s="76">
        <v>976.00721069293002</v>
      </c>
      <c r="M361" s="76">
        <v>1126.2367217727751</v>
      </c>
      <c r="N361" s="76">
        <v>1291.0151165223833</v>
      </c>
      <c r="O361" s="76">
        <v>1316.2982577050975</v>
      </c>
      <c r="P361" s="76">
        <v>1340.5540012291078</v>
      </c>
      <c r="Q361" s="76">
        <v>1365.7919303827548</v>
      </c>
      <c r="R361" s="76">
        <v>1392.3796457941821</v>
      </c>
      <c r="S361" s="76">
        <v>1418.6470127285436</v>
      </c>
      <c r="T361" s="76">
        <v>1445.5997404192608</v>
      </c>
      <c r="U361" s="76">
        <v>1475.0342715392835</v>
      </c>
      <c r="V361" s="76">
        <v>1504.8315911835007</v>
      </c>
    </row>
    <row r="362" spans="1:22" x14ac:dyDescent="0.3">
      <c r="A362" s="3" t="str">
        <f>INDEX(Mapping!$Y:$Y,MATCH($C362,Mapping!$W:$W,0))</f>
        <v>Rural</v>
      </c>
      <c r="B362" s="3" t="str">
        <f>INDEX(Mapping!$V:$V,MATCH(C362,Mapping!$W:$W,0))</f>
        <v>SWV</v>
      </c>
      <c r="C362" t="s">
        <v>182</v>
      </c>
      <c r="D362">
        <v>0</v>
      </c>
      <c r="E362" s="20"/>
      <c r="F362" s="76">
        <v>38.098086124401917</v>
      </c>
      <c r="G362" s="76">
        <v>44.311004784688997</v>
      </c>
      <c r="H362" s="76">
        <v>42.31818181818182</v>
      </c>
      <c r="I362" s="76">
        <v>44.042762639182712</v>
      </c>
      <c r="J362" s="76">
        <v>44.267113177826552</v>
      </c>
      <c r="K362" s="76">
        <v>44.490726947463166</v>
      </c>
      <c r="L362" s="76">
        <v>44.705644429533479</v>
      </c>
      <c r="M362" s="76">
        <v>44.924015178555919</v>
      </c>
      <c r="N362" s="76">
        <v>45.159693605420635</v>
      </c>
      <c r="O362" s="76">
        <v>45.400805643455939</v>
      </c>
      <c r="P362" s="76">
        <v>45.641549773250077</v>
      </c>
      <c r="Q362" s="76">
        <v>45.883107630310498</v>
      </c>
      <c r="R362" s="76">
        <v>46.134620240652154</v>
      </c>
      <c r="S362" s="76">
        <v>46.385490247626294</v>
      </c>
      <c r="T362" s="76">
        <v>46.630132950504773</v>
      </c>
      <c r="U362" s="76">
        <v>46.868294652055567</v>
      </c>
      <c r="V362" s="76">
        <v>47.099017438639095</v>
      </c>
    </row>
    <row r="363" spans="1:22" x14ac:dyDescent="0.3">
      <c r="A363" s="3" t="str">
        <f>INDEX(Mapping!$Y:$Y,MATCH($C363,Mapping!$W:$W,0))</f>
        <v>Rural</v>
      </c>
      <c r="B363" s="3" t="str">
        <f>INDEX(Mapping!$V:$V,MATCH(C363,Mapping!$W:$W,0))</f>
        <v>SWV</v>
      </c>
      <c r="C363" t="s">
        <v>182</v>
      </c>
      <c r="D363">
        <v>1</v>
      </c>
      <c r="E363" s="20"/>
      <c r="F363" s="76">
        <v>60.645933014354071</v>
      </c>
      <c r="G363" s="76">
        <v>70.535885167464116</v>
      </c>
      <c r="H363" s="76">
        <v>67.36363636363636</v>
      </c>
      <c r="I363" s="76">
        <v>42.31818181818182</v>
      </c>
      <c r="J363" s="76">
        <v>44.042762639182712</v>
      </c>
      <c r="K363" s="76">
        <v>44.267113177826552</v>
      </c>
      <c r="L363" s="76">
        <v>44.490726947463166</v>
      </c>
      <c r="M363" s="76">
        <v>44.705644429533479</v>
      </c>
      <c r="N363" s="76">
        <v>44.924015178555919</v>
      </c>
      <c r="O363" s="76">
        <v>45.159693605420635</v>
      </c>
      <c r="P363" s="76">
        <v>45.400805643455939</v>
      </c>
      <c r="Q363" s="76">
        <v>45.641549773250077</v>
      </c>
      <c r="R363" s="76">
        <v>45.883107630310498</v>
      </c>
      <c r="S363" s="76">
        <v>46.134620240652154</v>
      </c>
      <c r="T363" s="76">
        <v>46.385490247626294</v>
      </c>
      <c r="U363" s="76">
        <v>46.630132950504773</v>
      </c>
      <c r="V363" s="76">
        <v>46.868294652055567</v>
      </c>
    </row>
    <row r="364" spans="1:22" x14ac:dyDescent="0.3">
      <c r="A364" s="3" t="str">
        <f>INDEX(Mapping!$Y:$Y,MATCH($C364,Mapping!$W:$W,0))</f>
        <v>Rural</v>
      </c>
      <c r="B364" s="3" t="str">
        <f>INDEX(Mapping!$V:$V,MATCH(C364,Mapping!$W:$W,0))</f>
        <v>SWV</v>
      </c>
      <c r="C364" t="s">
        <v>182</v>
      </c>
      <c r="D364">
        <v>2</v>
      </c>
      <c r="E364" s="20"/>
      <c r="F364" s="76">
        <v>48.983253588516746</v>
      </c>
      <c r="G364" s="76">
        <v>56.971291866028714</v>
      </c>
      <c r="H364" s="76">
        <v>54.409090909090914</v>
      </c>
      <c r="I364" s="76">
        <v>67.36363636363636</v>
      </c>
      <c r="J364" s="76">
        <v>42.31818181818182</v>
      </c>
      <c r="K364" s="76">
        <v>44.042762639182712</v>
      </c>
      <c r="L364" s="76">
        <v>44.267113177826552</v>
      </c>
      <c r="M364" s="76">
        <v>44.490726947463166</v>
      </c>
      <c r="N364" s="76">
        <v>44.705644429533479</v>
      </c>
      <c r="O364" s="76">
        <v>44.924015178555919</v>
      </c>
      <c r="P364" s="76">
        <v>45.159693605420635</v>
      </c>
      <c r="Q364" s="76">
        <v>45.400805643455939</v>
      </c>
      <c r="R364" s="76">
        <v>45.641549773250077</v>
      </c>
      <c r="S364" s="76">
        <v>45.883107630310498</v>
      </c>
      <c r="T364" s="76">
        <v>46.134620240652154</v>
      </c>
      <c r="U364" s="76">
        <v>46.385490247626294</v>
      </c>
      <c r="V364" s="76">
        <v>46.630132950504773</v>
      </c>
    </row>
    <row r="365" spans="1:22" x14ac:dyDescent="0.3">
      <c r="A365" s="3" t="str">
        <f>INDEX(Mapping!$Y:$Y,MATCH($C365,Mapping!$W:$W,0))</f>
        <v>Rural</v>
      </c>
      <c r="B365" s="3" t="str">
        <f>INDEX(Mapping!$V:$V,MATCH(C365,Mapping!$W:$W,0))</f>
        <v>SWV</v>
      </c>
      <c r="C365" t="s">
        <v>182</v>
      </c>
      <c r="D365">
        <v>3</v>
      </c>
      <c r="E365" s="20"/>
      <c r="F365" s="76">
        <v>56.758373205741627</v>
      </c>
      <c r="G365" s="76">
        <v>66.014354066985646</v>
      </c>
      <c r="H365" s="76">
        <v>63.045454545454547</v>
      </c>
      <c r="I365" s="76">
        <v>54.409090909090914</v>
      </c>
      <c r="J365" s="76">
        <v>67.36363636363636</v>
      </c>
      <c r="K365" s="76">
        <v>42.31818181818182</v>
      </c>
      <c r="L365" s="76">
        <v>44.042762639182712</v>
      </c>
      <c r="M365" s="76">
        <v>44.267113177826552</v>
      </c>
      <c r="N365" s="76">
        <v>44.490726947463166</v>
      </c>
      <c r="O365" s="76">
        <v>44.705644429533479</v>
      </c>
      <c r="P365" s="76">
        <v>44.924015178555919</v>
      </c>
      <c r="Q365" s="76">
        <v>45.159693605420635</v>
      </c>
      <c r="R365" s="76">
        <v>45.400805643455939</v>
      </c>
      <c r="S365" s="76">
        <v>45.641549773250077</v>
      </c>
      <c r="T365" s="76">
        <v>45.883107630310498</v>
      </c>
      <c r="U365" s="76">
        <v>46.134620240652154</v>
      </c>
      <c r="V365" s="76">
        <v>46.385490247626294</v>
      </c>
    </row>
    <row r="366" spans="1:22" x14ac:dyDescent="0.3">
      <c r="A366" s="3" t="str">
        <f>INDEX(Mapping!$Y:$Y,MATCH($C366,Mapping!$W:$W,0))</f>
        <v>Rural</v>
      </c>
      <c r="B366" s="3" t="str">
        <f>INDEX(Mapping!$V:$V,MATCH(C366,Mapping!$W:$W,0))</f>
        <v>SWV</v>
      </c>
      <c r="C366" t="s">
        <v>182</v>
      </c>
      <c r="D366">
        <v>4</v>
      </c>
      <c r="E366" s="20"/>
      <c r="F366" s="76">
        <v>63.755980861244019</v>
      </c>
      <c r="G366" s="76">
        <v>74.153110047846894</v>
      </c>
      <c r="H366" s="76">
        <v>70.818181818181813</v>
      </c>
      <c r="I366" s="76">
        <v>63.045454545454547</v>
      </c>
      <c r="J366" s="76">
        <v>54.409090909090914</v>
      </c>
      <c r="K366" s="76">
        <v>67.36363636363636</v>
      </c>
      <c r="L366" s="76">
        <v>42.31818181818182</v>
      </c>
      <c r="M366" s="76">
        <v>44.042762639182712</v>
      </c>
      <c r="N366" s="76">
        <v>44.267113177826552</v>
      </c>
      <c r="O366" s="76">
        <v>44.490726947463166</v>
      </c>
      <c r="P366" s="76">
        <v>44.705644429533479</v>
      </c>
      <c r="Q366" s="76">
        <v>44.924015178555919</v>
      </c>
      <c r="R366" s="76">
        <v>45.159693605420635</v>
      </c>
      <c r="S366" s="76">
        <v>45.400805643455939</v>
      </c>
      <c r="T366" s="76">
        <v>45.641549773250077</v>
      </c>
      <c r="U366" s="76">
        <v>45.883107630310498</v>
      </c>
      <c r="V366" s="76">
        <v>46.134620240652154</v>
      </c>
    </row>
    <row r="367" spans="1:22" x14ac:dyDescent="0.3">
      <c r="A367" s="3" t="str">
        <f>INDEX(Mapping!$Y:$Y,MATCH($C367,Mapping!$W:$W,0))</f>
        <v>Rural</v>
      </c>
      <c r="B367" s="3" t="str">
        <f>INDEX(Mapping!$V:$V,MATCH(C367,Mapping!$W:$W,0))</f>
        <v>SWV</v>
      </c>
      <c r="C367" t="s">
        <v>182</v>
      </c>
      <c r="D367">
        <v>5</v>
      </c>
      <c r="E367" s="20"/>
      <c r="F367" s="76">
        <v>69.507177033492823</v>
      </c>
      <c r="G367" s="76">
        <v>69.15789473684211</v>
      </c>
      <c r="H367" s="76">
        <v>70.729665071770327</v>
      </c>
      <c r="I367" s="76">
        <v>70.818181818181813</v>
      </c>
      <c r="J367" s="76">
        <v>63.045454545454547</v>
      </c>
      <c r="K367" s="76">
        <v>54.409090909090914</v>
      </c>
      <c r="L367" s="76">
        <v>67.36363636363636</v>
      </c>
      <c r="M367" s="76">
        <v>42.31818181818182</v>
      </c>
      <c r="N367" s="76">
        <v>44.042762639182712</v>
      </c>
      <c r="O367" s="76">
        <v>44.267113177826552</v>
      </c>
      <c r="P367" s="76">
        <v>44.490726947463166</v>
      </c>
      <c r="Q367" s="76">
        <v>44.705644429533479</v>
      </c>
      <c r="R367" s="76">
        <v>44.924015178555919</v>
      </c>
      <c r="S367" s="76">
        <v>45.159693605420635</v>
      </c>
      <c r="T367" s="76">
        <v>45.400805643455939</v>
      </c>
      <c r="U367" s="76">
        <v>45.641549773250077</v>
      </c>
      <c r="V367" s="76">
        <v>45.883107630310498</v>
      </c>
    </row>
    <row r="368" spans="1:22" x14ac:dyDescent="0.3">
      <c r="A368" s="3" t="str">
        <f>INDEX(Mapping!$Y:$Y,MATCH($C368,Mapping!$W:$W,0))</f>
        <v>Rural</v>
      </c>
      <c r="B368" s="3" t="str">
        <f>INDEX(Mapping!$V:$V,MATCH(C368,Mapping!$W:$W,0))</f>
        <v>SWV</v>
      </c>
      <c r="C368" t="s">
        <v>183</v>
      </c>
      <c r="D368">
        <v>0</v>
      </c>
      <c r="E368" s="20"/>
      <c r="F368" s="76">
        <v>13.608247422680414</v>
      </c>
      <c r="G368" s="76">
        <v>12.247422680412372</v>
      </c>
      <c r="H368" s="76">
        <v>12.371134020618557</v>
      </c>
      <c r="I368" s="76">
        <v>12.827111081360245</v>
      </c>
      <c r="J368" s="76">
        <v>12.806287200569368</v>
      </c>
      <c r="K368" s="76">
        <v>12.799097921499227</v>
      </c>
      <c r="L368" s="76">
        <v>12.801005789055232</v>
      </c>
      <c r="M368" s="76">
        <v>12.808767857218907</v>
      </c>
      <c r="N368" s="76">
        <v>12.828924936362645</v>
      </c>
      <c r="O368" s="76">
        <v>12.861393936270547</v>
      </c>
      <c r="P368" s="76">
        <v>12.89333283828036</v>
      </c>
      <c r="Q368" s="76">
        <v>12.926989979292204</v>
      </c>
      <c r="R368" s="76">
        <v>12.956749370224225</v>
      </c>
      <c r="S368" s="76">
        <v>12.987538413732038</v>
      </c>
      <c r="T368" s="76">
        <v>13.018929943056678</v>
      </c>
      <c r="U368" s="76">
        <v>13.050925781253666</v>
      </c>
      <c r="V368" s="76">
        <v>13.083018508565916</v>
      </c>
    </row>
    <row r="369" spans="1:22" x14ac:dyDescent="0.3">
      <c r="A369" s="3" t="str">
        <f>INDEX(Mapping!$Y:$Y,MATCH($C369,Mapping!$W:$W,0))</f>
        <v>Rural</v>
      </c>
      <c r="B369" s="3" t="str">
        <f>INDEX(Mapping!$V:$V,MATCH(C369,Mapping!$W:$W,0))</f>
        <v>SWV</v>
      </c>
      <c r="C369" t="s">
        <v>183</v>
      </c>
      <c r="D369">
        <v>1</v>
      </c>
      <c r="E369" s="20"/>
      <c r="F369" s="76">
        <v>7.9381443298969065</v>
      </c>
      <c r="G369" s="76">
        <v>7.144329896907216</v>
      </c>
      <c r="H369" s="76">
        <v>7.216494845360824</v>
      </c>
      <c r="I369" s="76">
        <v>12.371134020618557</v>
      </c>
      <c r="J369" s="76">
        <v>12.827111081360245</v>
      </c>
      <c r="K369" s="76">
        <v>12.806287200569368</v>
      </c>
      <c r="L369" s="76">
        <v>12.799097921499227</v>
      </c>
      <c r="M369" s="76">
        <v>12.801005789055232</v>
      </c>
      <c r="N369" s="76">
        <v>12.808767857218907</v>
      </c>
      <c r="O369" s="76">
        <v>12.828924936362645</v>
      </c>
      <c r="P369" s="76">
        <v>12.861393936270547</v>
      </c>
      <c r="Q369" s="76">
        <v>12.89333283828036</v>
      </c>
      <c r="R369" s="76">
        <v>12.926989979292204</v>
      </c>
      <c r="S369" s="76">
        <v>12.956749370224225</v>
      </c>
      <c r="T369" s="76">
        <v>12.987538413732038</v>
      </c>
      <c r="U369" s="76">
        <v>13.018929943056678</v>
      </c>
      <c r="V369" s="76">
        <v>13.050925781253666</v>
      </c>
    </row>
    <row r="370" spans="1:22" x14ac:dyDescent="0.3">
      <c r="A370" s="3" t="str">
        <f>INDEX(Mapping!$Y:$Y,MATCH($C370,Mapping!$W:$W,0))</f>
        <v>Rural</v>
      </c>
      <c r="B370" s="3" t="str">
        <f>INDEX(Mapping!$V:$V,MATCH(C370,Mapping!$W:$W,0))</f>
        <v>SWV</v>
      </c>
      <c r="C370" t="s">
        <v>183</v>
      </c>
      <c r="D370">
        <v>2</v>
      </c>
      <c r="E370" s="20"/>
      <c r="F370" s="76">
        <v>18.144329896907216</v>
      </c>
      <c r="G370" s="76">
        <v>16.329896907216494</v>
      </c>
      <c r="H370" s="76">
        <v>16.494845360824741</v>
      </c>
      <c r="I370" s="76">
        <v>7.216494845360824</v>
      </c>
      <c r="J370" s="76">
        <v>12.371134020618557</v>
      </c>
      <c r="K370" s="76">
        <v>12.827111081360245</v>
      </c>
      <c r="L370" s="76">
        <v>12.806287200569368</v>
      </c>
      <c r="M370" s="76">
        <v>12.799097921499227</v>
      </c>
      <c r="N370" s="76">
        <v>12.801005789055232</v>
      </c>
      <c r="O370" s="76">
        <v>12.808767857218907</v>
      </c>
      <c r="P370" s="76">
        <v>12.828924936362645</v>
      </c>
      <c r="Q370" s="76">
        <v>12.861393936270547</v>
      </c>
      <c r="R370" s="76">
        <v>12.89333283828036</v>
      </c>
      <c r="S370" s="76">
        <v>12.926989979292204</v>
      </c>
      <c r="T370" s="76">
        <v>12.956749370224225</v>
      </c>
      <c r="U370" s="76">
        <v>12.987538413732038</v>
      </c>
      <c r="V370" s="76">
        <v>13.018929943056678</v>
      </c>
    </row>
    <row r="371" spans="1:22" x14ac:dyDescent="0.3">
      <c r="A371" s="3" t="str">
        <f>INDEX(Mapping!$Y:$Y,MATCH($C371,Mapping!$W:$W,0))</f>
        <v>Rural</v>
      </c>
      <c r="B371" s="3" t="str">
        <f>INDEX(Mapping!$V:$V,MATCH(C371,Mapping!$W:$W,0))</f>
        <v>SWV</v>
      </c>
      <c r="C371" t="s">
        <v>183</v>
      </c>
      <c r="D371">
        <v>3</v>
      </c>
      <c r="E371" s="20"/>
      <c r="F371" s="76">
        <v>20.412371134020621</v>
      </c>
      <c r="G371" s="76">
        <v>18.371134020618559</v>
      </c>
      <c r="H371" s="76">
        <v>18.556701030927837</v>
      </c>
      <c r="I371" s="76">
        <v>16.494845360824741</v>
      </c>
      <c r="J371" s="76">
        <v>7.216494845360824</v>
      </c>
      <c r="K371" s="76">
        <v>12.371134020618557</v>
      </c>
      <c r="L371" s="76">
        <v>12.827111081360245</v>
      </c>
      <c r="M371" s="76">
        <v>12.806287200569368</v>
      </c>
      <c r="N371" s="76">
        <v>12.799097921499227</v>
      </c>
      <c r="O371" s="76">
        <v>12.801005789055232</v>
      </c>
      <c r="P371" s="76">
        <v>12.808767857218907</v>
      </c>
      <c r="Q371" s="76">
        <v>12.828924936362645</v>
      </c>
      <c r="R371" s="76">
        <v>12.861393936270547</v>
      </c>
      <c r="S371" s="76">
        <v>12.89333283828036</v>
      </c>
      <c r="T371" s="76">
        <v>12.926989979292204</v>
      </c>
      <c r="U371" s="76">
        <v>12.956749370224225</v>
      </c>
      <c r="V371" s="76">
        <v>12.987538413732038</v>
      </c>
    </row>
    <row r="372" spans="1:22" x14ac:dyDescent="0.3">
      <c r="A372" s="3" t="str">
        <f>INDEX(Mapping!$Y:$Y,MATCH($C372,Mapping!$W:$W,0))</f>
        <v>Rural</v>
      </c>
      <c r="B372" s="3" t="str">
        <f>INDEX(Mapping!$V:$V,MATCH(C372,Mapping!$W:$W,0))</f>
        <v>SWV</v>
      </c>
      <c r="C372" t="s">
        <v>183</v>
      </c>
      <c r="D372">
        <v>4</v>
      </c>
      <c r="E372" s="20"/>
      <c r="F372" s="76">
        <v>19.278350515463917</v>
      </c>
      <c r="G372" s="76">
        <v>17.350515463917525</v>
      </c>
      <c r="H372" s="76">
        <v>17.525773195876287</v>
      </c>
      <c r="I372" s="76">
        <v>18.556701030927837</v>
      </c>
      <c r="J372" s="76">
        <v>16.494845360824741</v>
      </c>
      <c r="K372" s="76">
        <v>7.216494845360824</v>
      </c>
      <c r="L372" s="76">
        <v>12.371134020618557</v>
      </c>
      <c r="M372" s="76">
        <v>12.827111081360245</v>
      </c>
      <c r="N372" s="76">
        <v>12.806287200569368</v>
      </c>
      <c r="O372" s="76">
        <v>12.799097921499227</v>
      </c>
      <c r="P372" s="76">
        <v>12.801005789055232</v>
      </c>
      <c r="Q372" s="76">
        <v>12.808767857218907</v>
      </c>
      <c r="R372" s="76">
        <v>12.828924936362645</v>
      </c>
      <c r="S372" s="76">
        <v>12.861393936270547</v>
      </c>
      <c r="T372" s="76">
        <v>12.89333283828036</v>
      </c>
      <c r="U372" s="76">
        <v>12.926989979292204</v>
      </c>
      <c r="V372" s="76">
        <v>12.956749370224225</v>
      </c>
    </row>
    <row r="373" spans="1:22" x14ac:dyDescent="0.3">
      <c r="A373" s="3" t="str">
        <f>INDEX(Mapping!$Y:$Y,MATCH($C373,Mapping!$W:$W,0))</f>
        <v>Rural</v>
      </c>
      <c r="B373" s="3" t="str">
        <f>INDEX(Mapping!$V:$V,MATCH(C373,Mapping!$W:$W,0))</f>
        <v>SWV</v>
      </c>
      <c r="C373" t="s">
        <v>183</v>
      </c>
      <c r="D373">
        <v>5</v>
      </c>
      <c r="E373" s="20"/>
      <c r="F373" s="76">
        <v>29.783505154639176</v>
      </c>
      <c r="G373" s="76">
        <v>33.680412371134025</v>
      </c>
      <c r="H373" s="76">
        <v>32.845360824742272</v>
      </c>
      <c r="I373" s="76">
        <v>17.525773195876287</v>
      </c>
      <c r="J373" s="76">
        <v>18.556701030927837</v>
      </c>
      <c r="K373" s="76">
        <v>16.494845360824741</v>
      </c>
      <c r="L373" s="76">
        <v>7.216494845360824</v>
      </c>
      <c r="M373" s="76">
        <v>12.371134020618557</v>
      </c>
      <c r="N373" s="76">
        <v>12.827111081360245</v>
      </c>
      <c r="O373" s="76">
        <v>12.806287200569368</v>
      </c>
      <c r="P373" s="76">
        <v>12.799097921499227</v>
      </c>
      <c r="Q373" s="76">
        <v>12.801005789055232</v>
      </c>
      <c r="R373" s="76">
        <v>12.808767857218907</v>
      </c>
      <c r="S373" s="76">
        <v>12.828924936362645</v>
      </c>
      <c r="T373" s="76">
        <v>12.861393936270547</v>
      </c>
      <c r="U373" s="76">
        <v>12.89333283828036</v>
      </c>
      <c r="V373" s="76">
        <v>12.926989979292204</v>
      </c>
    </row>
    <row r="374" spans="1:22" x14ac:dyDescent="0.3">
      <c r="A374" s="3" t="str">
        <f>INDEX(Mapping!$Y:$Y,MATCH($C374,Mapping!$W:$W,0))</f>
        <v>Rural</v>
      </c>
      <c r="B374" s="3" t="str">
        <f>INDEX(Mapping!$V:$V,MATCH(C374,Mapping!$W:$W,0))</f>
        <v>SEV</v>
      </c>
      <c r="C374" t="s">
        <v>160</v>
      </c>
      <c r="D374">
        <v>0</v>
      </c>
      <c r="E374" s="20"/>
      <c r="F374" s="76">
        <v>253.93440916189485</v>
      </c>
      <c r="G374" s="76">
        <v>264.25819885476312</v>
      </c>
      <c r="H374" s="76">
        <v>257.32431025507549</v>
      </c>
      <c r="I374" s="76">
        <v>274.04029062549364</v>
      </c>
      <c r="J374" s="76">
        <v>275.48996092291293</v>
      </c>
      <c r="K374" s="76">
        <v>277.09720365168602</v>
      </c>
      <c r="L374" s="76">
        <v>278.9559858353872</v>
      </c>
      <c r="M374" s="76">
        <v>281.0174363792654</v>
      </c>
      <c r="N374" s="76">
        <v>283.26277359158138</v>
      </c>
      <c r="O374" s="76">
        <v>285.70408521518061</v>
      </c>
      <c r="P374" s="76">
        <v>287.9650003051849</v>
      </c>
      <c r="Q374" s="76">
        <v>290.05697150968206</v>
      </c>
      <c r="R374" s="76">
        <v>292.14593606984482</v>
      </c>
      <c r="S374" s="76">
        <v>294.23400043801593</v>
      </c>
      <c r="T374" s="76">
        <v>296.3221047400171</v>
      </c>
      <c r="U374" s="76">
        <v>298.40263780897834</v>
      </c>
      <c r="V374" s="76">
        <v>300.49321993792626</v>
      </c>
    </row>
    <row r="375" spans="1:22" x14ac:dyDescent="0.3">
      <c r="A375" s="3" t="str">
        <f>INDEX(Mapping!$Y:$Y,MATCH($C375,Mapping!$W:$W,0))</f>
        <v>Rural</v>
      </c>
      <c r="B375" s="3" t="str">
        <f>INDEX(Mapping!$V:$V,MATCH(C375,Mapping!$W:$W,0))</f>
        <v>SEV</v>
      </c>
      <c r="C375" t="s">
        <v>160</v>
      </c>
      <c r="D375">
        <v>1</v>
      </c>
      <c r="E375" s="20"/>
      <c r="F375" s="76">
        <v>263.37116085372202</v>
      </c>
      <c r="G375" s="76">
        <v>274.07860489328476</v>
      </c>
      <c r="H375" s="76">
        <v>266.88703800104116</v>
      </c>
      <c r="I375" s="76">
        <v>257.32431025507549</v>
      </c>
      <c r="J375" s="76">
        <v>274.04029062549364</v>
      </c>
      <c r="K375" s="76">
        <v>275.48996092291293</v>
      </c>
      <c r="L375" s="76">
        <v>277.09720365168602</v>
      </c>
      <c r="M375" s="76">
        <v>278.9559858353872</v>
      </c>
      <c r="N375" s="76">
        <v>281.0174363792654</v>
      </c>
      <c r="O375" s="76">
        <v>283.26277359158138</v>
      </c>
      <c r="P375" s="76">
        <v>285.70408521518061</v>
      </c>
      <c r="Q375" s="76">
        <v>287.9650003051849</v>
      </c>
      <c r="R375" s="76">
        <v>290.05697150968206</v>
      </c>
      <c r="S375" s="76">
        <v>292.14593606984482</v>
      </c>
      <c r="T375" s="76">
        <v>294.23400043801593</v>
      </c>
      <c r="U375" s="76">
        <v>296.3221047400171</v>
      </c>
      <c r="V375" s="76">
        <v>298.40263780897834</v>
      </c>
    </row>
    <row r="376" spans="1:22" x14ac:dyDescent="0.3">
      <c r="A376" s="3" t="str">
        <f>INDEX(Mapping!$Y:$Y,MATCH($C376,Mapping!$W:$W,0))</f>
        <v>Rural</v>
      </c>
      <c r="B376" s="3" t="str">
        <f>INDEX(Mapping!$V:$V,MATCH(C376,Mapping!$W:$W,0))</f>
        <v>SEV</v>
      </c>
      <c r="C376" t="s">
        <v>160</v>
      </c>
      <c r="D376">
        <v>2</v>
      </c>
      <c r="E376" s="20"/>
      <c r="F376" s="76">
        <v>271.09213951067153</v>
      </c>
      <c r="G376" s="76">
        <v>282.11348256116605</v>
      </c>
      <c r="H376" s="76">
        <v>274.71108797501302</v>
      </c>
      <c r="I376" s="76">
        <v>266.88703800104116</v>
      </c>
      <c r="J376" s="76">
        <v>257.32431025507549</v>
      </c>
      <c r="K376" s="76">
        <v>274.04029062549364</v>
      </c>
      <c r="L376" s="76">
        <v>275.48996092291293</v>
      </c>
      <c r="M376" s="76">
        <v>277.09720365168602</v>
      </c>
      <c r="N376" s="76">
        <v>278.9559858353872</v>
      </c>
      <c r="O376" s="76">
        <v>281.0174363792654</v>
      </c>
      <c r="P376" s="76">
        <v>283.26277359158138</v>
      </c>
      <c r="Q376" s="76">
        <v>285.70408521518061</v>
      </c>
      <c r="R376" s="76">
        <v>287.9650003051849</v>
      </c>
      <c r="S376" s="76">
        <v>290.05697150968206</v>
      </c>
      <c r="T376" s="76">
        <v>292.14593606984482</v>
      </c>
      <c r="U376" s="76">
        <v>294.23400043801593</v>
      </c>
      <c r="V376" s="76">
        <v>296.3221047400171</v>
      </c>
    </row>
    <row r="377" spans="1:22" x14ac:dyDescent="0.3">
      <c r="A377" s="3" t="str">
        <f>INDEX(Mapping!$Y:$Y,MATCH($C377,Mapping!$W:$W,0))</f>
        <v>Rural</v>
      </c>
      <c r="B377" s="3" t="str">
        <f>INDEX(Mapping!$V:$V,MATCH(C377,Mapping!$W:$W,0))</f>
        <v>SEV</v>
      </c>
      <c r="C377" t="s">
        <v>160</v>
      </c>
      <c r="D377">
        <v>3</v>
      </c>
      <c r="E377" s="20"/>
      <c r="F377" s="76">
        <v>290.82352941176475</v>
      </c>
      <c r="G377" s="76">
        <v>302.64705882352945</v>
      </c>
      <c r="H377" s="76">
        <v>294.70588235294122</v>
      </c>
      <c r="I377" s="76">
        <v>274.71108797501302</v>
      </c>
      <c r="J377" s="76">
        <v>266.88703800104116</v>
      </c>
      <c r="K377" s="76">
        <v>257.32431025507549</v>
      </c>
      <c r="L377" s="76">
        <v>274.04029062549364</v>
      </c>
      <c r="M377" s="76">
        <v>275.48996092291293</v>
      </c>
      <c r="N377" s="76">
        <v>277.09720365168602</v>
      </c>
      <c r="O377" s="76">
        <v>278.9559858353872</v>
      </c>
      <c r="P377" s="76">
        <v>281.0174363792654</v>
      </c>
      <c r="Q377" s="76">
        <v>283.26277359158138</v>
      </c>
      <c r="R377" s="76">
        <v>285.70408521518061</v>
      </c>
      <c r="S377" s="76">
        <v>287.9650003051849</v>
      </c>
      <c r="T377" s="76">
        <v>290.05697150968206</v>
      </c>
      <c r="U377" s="76">
        <v>292.14593606984482</v>
      </c>
      <c r="V377" s="76">
        <v>294.23400043801593</v>
      </c>
    </row>
    <row r="378" spans="1:22" x14ac:dyDescent="0.3">
      <c r="A378" s="3" t="str">
        <f>INDEX(Mapping!$Y:$Y,MATCH($C378,Mapping!$W:$W,0))</f>
        <v>Rural</v>
      </c>
      <c r="B378" s="3" t="str">
        <f>INDEX(Mapping!$V:$V,MATCH(C378,Mapping!$W:$W,0))</f>
        <v>SEV</v>
      </c>
      <c r="C378" t="s">
        <v>160</v>
      </c>
      <c r="D378">
        <v>4</v>
      </c>
      <c r="E378" s="20"/>
      <c r="F378" s="76">
        <v>280.5288912024987</v>
      </c>
      <c r="G378" s="76">
        <v>291.93388859968769</v>
      </c>
      <c r="H378" s="76">
        <v>284.27381572097869</v>
      </c>
      <c r="I378" s="76">
        <v>294.70588235294122</v>
      </c>
      <c r="J378" s="76">
        <v>274.71108797501302</v>
      </c>
      <c r="K378" s="76">
        <v>266.88703800104116</v>
      </c>
      <c r="L378" s="76">
        <v>257.32431025507549</v>
      </c>
      <c r="M378" s="76">
        <v>274.04029062549364</v>
      </c>
      <c r="N378" s="76">
        <v>275.48996092291293</v>
      </c>
      <c r="O378" s="76">
        <v>277.09720365168602</v>
      </c>
      <c r="P378" s="76">
        <v>278.9559858353872</v>
      </c>
      <c r="Q378" s="76">
        <v>281.0174363792654</v>
      </c>
      <c r="R378" s="76">
        <v>283.26277359158138</v>
      </c>
      <c r="S378" s="76">
        <v>285.70408521518061</v>
      </c>
      <c r="T378" s="76">
        <v>287.9650003051849</v>
      </c>
      <c r="U378" s="76">
        <v>290.05697150968206</v>
      </c>
      <c r="V378" s="76">
        <v>292.14593606984482</v>
      </c>
    </row>
    <row r="379" spans="1:22" x14ac:dyDescent="0.3">
      <c r="A379" s="3" t="str">
        <f>INDEX(Mapping!$Y:$Y,MATCH($C379,Mapping!$W:$W,0))</f>
        <v>Rural</v>
      </c>
      <c r="B379" s="3" t="str">
        <f>INDEX(Mapping!$V:$V,MATCH(C379,Mapping!$W:$W,0))</f>
        <v>SEV</v>
      </c>
      <c r="C379" t="s">
        <v>160</v>
      </c>
      <c r="D379">
        <v>5</v>
      </c>
      <c r="E379" s="20"/>
      <c r="F379" s="76">
        <v>316.0603852160333</v>
      </c>
      <c r="G379" s="76">
        <v>323.40655908381052</v>
      </c>
      <c r="H379" s="76">
        <v>319.73347214992191</v>
      </c>
      <c r="I379" s="76">
        <v>284.27381572097869</v>
      </c>
      <c r="J379" s="76">
        <v>294.70588235294122</v>
      </c>
      <c r="K379" s="76">
        <v>274.71108797501302</v>
      </c>
      <c r="L379" s="76">
        <v>266.88703800104116</v>
      </c>
      <c r="M379" s="76">
        <v>257.32431025507549</v>
      </c>
      <c r="N379" s="76">
        <v>274.04029062549364</v>
      </c>
      <c r="O379" s="76">
        <v>275.48996092291293</v>
      </c>
      <c r="P379" s="76">
        <v>277.09720365168602</v>
      </c>
      <c r="Q379" s="76">
        <v>278.9559858353872</v>
      </c>
      <c r="R379" s="76">
        <v>281.0174363792654</v>
      </c>
      <c r="S379" s="76">
        <v>283.26277359158138</v>
      </c>
      <c r="T379" s="76">
        <v>285.70408521518061</v>
      </c>
      <c r="U379" s="76">
        <v>287.9650003051849</v>
      </c>
      <c r="V379" s="76">
        <v>290.05697150968206</v>
      </c>
    </row>
    <row r="380" spans="1:22" x14ac:dyDescent="0.3">
      <c r="A380" s="3" t="str">
        <f>INDEX(Mapping!$Y:$Y,MATCH($C380,Mapping!$W:$W,0))</f>
        <v>Rural</v>
      </c>
      <c r="B380" s="3" t="str">
        <f>INDEX(Mapping!$V:$V,MATCH(C380,Mapping!$W:$W,0))</f>
        <v>SWV</v>
      </c>
      <c r="C380" t="s">
        <v>184</v>
      </c>
      <c r="D380">
        <v>0</v>
      </c>
      <c r="E380" s="20"/>
      <c r="F380" s="76">
        <v>151.39922854387657</v>
      </c>
      <c r="G380" s="76">
        <v>148.30279652844746</v>
      </c>
      <c r="H380" s="76">
        <v>143.73963355834138</v>
      </c>
      <c r="I380" s="76">
        <v>159.38954538712082</v>
      </c>
      <c r="J380" s="76">
        <v>158.77626954263388</v>
      </c>
      <c r="K380" s="76">
        <v>158.16740271885385</v>
      </c>
      <c r="L380" s="76">
        <v>157.56014990038548</v>
      </c>
      <c r="M380" s="76">
        <v>156.95056827262778</v>
      </c>
      <c r="N380" s="76">
        <v>156.36404385858424</v>
      </c>
      <c r="O380" s="76">
        <v>155.79975728979818</v>
      </c>
      <c r="P380" s="76">
        <v>155.23638668701739</v>
      </c>
      <c r="Q380" s="76">
        <v>154.68746831629812</v>
      </c>
      <c r="R380" s="76">
        <v>154.14414572203111</v>
      </c>
      <c r="S380" s="76">
        <v>153.61060806766523</v>
      </c>
      <c r="T380" s="76">
        <v>153.08695785493688</v>
      </c>
      <c r="U380" s="76">
        <v>152.56404961087793</v>
      </c>
      <c r="V380" s="76">
        <v>152.04040468664658</v>
      </c>
    </row>
    <row r="381" spans="1:22" x14ac:dyDescent="0.3">
      <c r="A381" s="3" t="str">
        <f>INDEX(Mapping!$Y:$Y,MATCH($C381,Mapping!$W:$W,0))</f>
        <v>Rural</v>
      </c>
      <c r="B381" s="3" t="str">
        <f>INDEX(Mapping!$V:$V,MATCH(C381,Mapping!$W:$W,0))</f>
        <v>SWV</v>
      </c>
      <c r="C381" t="s">
        <v>184</v>
      </c>
      <c r="D381">
        <v>1</v>
      </c>
      <c r="E381" s="20"/>
      <c r="F381" s="76">
        <v>145.12825458052072</v>
      </c>
      <c r="G381" s="76">
        <v>142.16007714561235</v>
      </c>
      <c r="H381" s="76">
        <v>137.78592092574735</v>
      </c>
      <c r="I381" s="76">
        <v>143.73963355834138</v>
      </c>
      <c r="J381" s="76">
        <v>159.38954538712082</v>
      </c>
      <c r="K381" s="76">
        <v>158.77626954263388</v>
      </c>
      <c r="L381" s="76">
        <v>158.16740271885385</v>
      </c>
      <c r="M381" s="76">
        <v>157.56014990038548</v>
      </c>
      <c r="N381" s="76">
        <v>156.95056827262778</v>
      </c>
      <c r="O381" s="76">
        <v>156.36404385858424</v>
      </c>
      <c r="P381" s="76">
        <v>155.79975728979818</v>
      </c>
      <c r="Q381" s="76">
        <v>155.23638668701739</v>
      </c>
      <c r="R381" s="76">
        <v>154.68746831629812</v>
      </c>
      <c r="S381" s="76">
        <v>154.14414572203111</v>
      </c>
      <c r="T381" s="76">
        <v>153.61060806766523</v>
      </c>
      <c r="U381" s="76">
        <v>153.08695785493688</v>
      </c>
      <c r="V381" s="76">
        <v>152.56404961087793</v>
      </c>
    </row>
    <row r="382" spans="1:22" x14ac:dyDescent="0.3">
      <c r="A382" s="3" t="str">
        <f>INDEX(Mapping!$Y:$Y,MATCH($C382,Mapping!$W:$W,0))</f>
        <v>Rural</v>
      </c>
      <c r="B382" s="3" t="str">
        <f>INDEX(Mapping!$V:$V,MATCH(C382,Mapping!$W:$W,0))</f>
        <v>SWV</v>
      </c>
      <c r="C382" t="s">
        <v>184</v>
      </c>
      <c r="D382">
        <v>2</v>
      </c>
      <c r="E382" s="20"/>
      <c r="F382" s="76">
        <v>144.23240115718417</v>
      </c>
      <c r="G382" s="76">
        <v>141.28254580520732</v>
      </c>
      <c r="H382" s="76">
        <v>136.93539054966249</v>
      </c>
      <c r="I382" s="76">
        <v>137.78592092574735</v>
      </c>
      <c r="J382" s="76">
        <v>143.73963355834138</v>
      </c>
      <c r="K382" s="76">
        <v>159.38954538712082</v>
      </c>
      <c r="L382" s="76">
        <v>158.77626954263388</v>
      </c>
      <c r="M382" s="76">
        <v>158.16740271885385</v>
      </c>
      <c r="N382" s="76">
        <v>157.56014990038548</v>
      </c>
      <c r="O382" s="76">
        <v>156.95056827262778</v>
      </c>
      <c r="P382" s="76">
        <v>156.36404385858424</v>
      </c>
      <c r="Q382" s="76">
        <v>155.79975728979818</v>
      </c>
      <c r="R382" s="76">
        <v>155.23638668701739</v>
      </c>
      <c r="S382" s="76">
        <v>154.68746831629812</v>
      </c>
      <c r="T382" s="76">
        <v>154.14414572203111</v>
      </c>
      <c r="U382" s="76">
        <v>153.61060806766523</v>
      </c>
      <c r="V382" s="76">
        <v>153.08695785493688</v>
      </c>
    </row>
    <row r="383" spans="1:22" x14ac:dyDescent="0.3">
      <c r="A383" s="3" t="str">
        <f>INDEX(Mapping!$Y:$Y,MATCH($C383,Mapping!$W:$W,0))</f>
        <v>Rural</v>
      </c>
      <c r="B383" s="3" t="str">
        <f>INDEX(Mapping!$V:$V,MATCH(C383,Mapping!$W:$W,0))</f>
        <v>SWV</v>
      </c>
      <c r="C383" t="s">
        <v>184</v>
      </c>
      <c r="D383">
        <v>3</v>
      </c>
      <c r="E383" s="20"/>
      <c r="F383" s="76">
        <v>165.73288331726133</v>
      </c>
      <c r="G383" s="76">
        <v>162.34329797492768</v>
      </c>
      <c r="H383" s="76">
        <v>157.34811957569914</v>
      </c>
      <c r="I383" s="76">
        <v>136.93539054966249</v>
      </c>
      <c r="J383" s="76">
        <v>137.78592092574735</v>
      </c>
      <c r="K383" s="76">
        <v>143.73963355834138</v>
      </c>
      <c r="L383" s="76">
        <v>159.38954538712082</v>
      </c>
      <c r="M383" s="76">
        <v>158.77626954263388</v>
      </c>
      <c r="N383" s="76">
        <v>158.16740271885385</v>
      </c>
      <c r="O383" s="76">
        <v>157.56014990038548</v>
      </c>
      <c r="P383" s="76">
        <v>156.95056827262778</v>
      </c>
      <c r="Q383" s="76">
        <v>156.36404385858424</v>
      </c>
      <c r="R383" s="76">
        <v>155.79975728979818</v>
      </c>
      <c r="S383" s="76">
        <v>155.23638668701739</v>
      </c>
      <c r="T383" s="76">
        <v>154.68746831629812</v>
      </c>
      <c r="U383" s="76">
        <v>154.14414572203111</v>
      </c>
      <c r="V383" s="76">
        <v>153.61060806766523</v>
      </c>
    </row>
    <row r="384" spans="1:22" x14ac:dyDescent="0.3">
      <c r="A384" s="3" t="str">
        <f>INDEX(Mapping!$Y:$Y,MATCH($C384,Mapping!$W:$W,0))</f>
        <v>Rural</v>
      </c>
      <c r="B384" s="3" t="str">
        <f>INDEX(Mapping!$V:$V,MATCH(C384,Mapping!$W:$W,0))</f>
        <v>SWV</v>
      </c>
      <c r="C384" t="s">
        <v>184</v>
      </c>
      <c r="D384">
        <v>4</v>
      </c>
      <c r="E384" s="20"/>
      <c r="F384" s="76">
        <v>154.08678881388622</v>
      </c>
      <c r="G384" s="76">
        <v>150.93539054966249</v>
      </c>
      <c r="H384" s="76">
        <v>146.29122468659597</v>
      </c>
      <c r="I384" s="76">
        <v>157.34811957569914</v>
      </c>
      <c r="J384" s="76">
        <v>136.93539054966249</v>
      </c>
      <c r="K384" s="76">
        <v>137.78592092574735</v>
      </c>
      <c r="L384" s="76">
        <v>143.73963355834138</v>
      </c>
      <c r="M384" s="76">
        <v>159.38954538712082</v>
      </c>
      <c r="N384" s="76">
        <v>158.77626954263388</v>
      </c>
      <c r="O384" s="76">
        <v>158.16740271885385</v>
      </c>
      <c r="P384" s="76">
        <v>157.56014990038548</v>
      </c>
      <c r="Q384" s="76">
        <v>156.95056827262778</v>
      </c>
      <c r="R384" s="76">
        <v>156.36404385858424</v>
      </c>
      <c r="S384" s="76">
        <v>155.79975728979818</v>
      </c>
      <c r="T384" s="76">
        <v>155.23638668701739</v>
      </c>
      <c r="U384" s="76">
        <v>154.68746831629812</v>
      </c>
      <c r="V384" s="76">
        <v>154.14414572203111</v>
      </c>
    </row>
    <row r="385" spans="1:22" x14ac:dyDescent="0.3">
      <c r="A385" s="3" t="str">
        <f>INDEX(Mapping!$Y:$Y,MATCH($C385,Mapping!$W:$W,0))</f>
        <v>Rural</v>
      </c>
      <c r="B385" s="3" t="str">
        <f>INDEX(Mapping!$V:$V,MATCH(C385,Mapping!$W:$W,0))</f>
        <v>SWV</v>
      </c>
      <c r="C385" t="s">
        <v>184</v>
      </c>
      <c r="D385">
        <v>5</v>
      </c>
      <c r="E385" s="20"/>
      <c r="F385" s="76">
        <v>174.94696239151398</v>
      </c>
      <c r="G385" s="76">
        <v>174.04050144648022</v>
      </c>
      <c r="H385" s="76">
        <v>168.23915139826423</v>
      </c>
      <c r="I385" s="76">
        <v>146.29122468659597</v>
      </c>
      <c r="J385" s="76">
        <v>157.34811957569914</v>
      </c>
      <c r="K385" s="76">
        <v>136.93539054966249</v>
      </c>
      <c r="L385" s="76">
        <v>137.78592092574735</v>
      </c>
      <c r="M385" s="76">
        <v>143.73963355834138</v>
      </c>
      <c r="N385" s="76">
        <v>159.38954538712082</v>
      </c>
      <c r="O385" s="76">
        <v>158.77626954263388</v>
      </c>
      <c r="P385" s="76">
        <v>158.16740271885385</v>
      </c>
      <c r="Q385" s="76">
        <v>157.56014990038548</v>
      </c>
      <c r="R385" s="76">
        <v>156.95056827262778</v>
      </c>
      <c r="S385" s="76">
        <v>156.36404385858424</v>
      </c>
      <c r="T385" s="76">
        <v>155.79975728979818</v>
      </c>
      <c r="U385" s="76">
        <v>155.23638668701739</v>
      </c>
      <c r="V385" s="76">
        <v>154.68746831629812</v>
      </c>
    </row>
    <row r="386" spans="1:22" x14ac:dyDescent="0.3">
      <c r="A386" s="3" t="str">
        <f>INDEX(Mapping!$Y:$Y,MATCH($C386,Mapping!$W:$W,0))</f>
        <v>Metro</v>
      </c>
      <c r="B386" s="3" t="str">
        <f>INDEX(Mapping!$V:$V,MATCH(C386,Mapping!$W:$W,0))</f>
        <v>SEV</v>
      </c>
      <c r="C386" t="s">
        <v>161</v>
      </c>
      <c r="D386">
        <v>0</v>
      </c>
      <c r="E386" s="20"/>
      <c r="F386" s="76">
        <v>844.46447140381281</v>
      </c>
      <c r="G386" s="76">
        <v>862.25765453495092</v>
      </c>
      <c r="H386" s="76">
        <v>860.30040439052573</v>
      </c>
      <c r="I386" s="76">
        <v>1016.3476089035227</v>
      </c>
      <c r="J386" s="76">
        <v>1033.1953257113537</v>
      </c>
      <c r="K386" s="76">
        <v>1050.0533187952253</v>
      </c>
      <c r="L386" s="76">
        <v>1066.3333887983658</v>
      </c>
      <c r="M386" s="76">
        <v>1080.7698167846877</v>
      </c>
      <c r="N386" s="76">
        <v>1094.4065301816704</v>
      </c>
      <c r="O386" s="76">
        <v>1107.8505380063882</v>
      </c>
      <c r="P386" s="76">
        <v>1120.8854177825403</v>
      </c>
      <c r="Q386" s="76">
        <v>1132.8874121907068</v>
      </c>
      <c r="R386" s="76">
        <v>1145.6591060738315</v>
      </c>
      <c r="S386" s="76">
        <v>1158.682937043402</v>
      </c>
      <c r="T386" s="76">
        <v>1171.6969815288678</v>
      </c>
      <c r="U386" s="76">
        <v>1184.8195181431458</v>
      </c>
      <c r="V386" s="76">
        <v>1198.0428755117455</v>
      </c>
    </row>
    <row r="387" spans="1:22" x14ac:dyDescent="0.3">
      <c r="A387" s="3" t="str">
        <f>INDEX(Mapping!$Y:$Y,MATCH($C387,Mapping!$W:$W,0))</f>
        <v>Metro</v>
      </c>
      <c r="B387" s="3" t="str">
        <f>INDEX(Mapping!$V:$V,MATCH(C387,Mapping!$W:$W,0))</f>
        <v>SEV</v>
      </c>
      <c r="C387" t="s">
        <v>161</v>
      </c>
      <c r="D387">
        <v>1</v>
      </c>
      <c r="E387" s="20"/>
      <c r="F387" s="76">
        <v>803.33795493934144</v>
      </c>
      <c r="G387" s="76">
        <v>820.26458694396297</v>
      </c>
      <c r="H387" s="76">
        <v>818.40265742345468</v>
      </c>
      <c r="I387" s="76">
        <v>860.30040439052573</v>
      </c>
      <c r="J387" s="76">
        <v>1016.3476089035227</v>
      </c>
      <c r="K387" s="76">
        <v>1033.1953257113537</v>
      </c>
      <c r="L387" s="76">
        <v>1050.0533187952253</v>
      </c>
      <c r="M387" s="76">
        <v>1066.3333887983658</v>
      </c>
      <c r="N387" s="76">
        <v>1080.7698167846877</v>
      </c>
      <c r="O387" s="76">
        <v>1094.4065301816704</v>
      </c>
      <c r="P387" s="76">
        <v>1107.8505380063882</v>
      </c>
      <c r="Q387" s="76">
        <v>1120.8854177825403</v>
      </c>
      <c r="R387" s="76">
        <v>1132.8874121907068</v>
      </c>
      <c r="S387" s="76">
        <v>1145.6591060738315</v>
      </c>
      <c r="T387" s="76">
        <v>1158.682937043402</v>
      </c>
      <c r="U387" s="76">
        <v>1171.6969815288678</v>
      </c>
      <c r="V387" s="76">
        <v>1184.8195181431458</v>
      </c>
    </row>
    <row r="388" spans="1:22" x14ac:dyDescent="0.3">
      <c r="A388" s="3" t="str">
        <f>INDEX(Mapping!$Y:$Y,MATCH($C388,Mapping!$W:$W,0))</f>
        <v>Metro</v>
      </c>
      <c r="B388" s="3" t="str">
        <f>INDEX(Mapping!$V:$V,MATCH(C388,Mapping!$W:$W,0))</f>
        <v>SEV</v>
      </c>
      <c r="C388" t="s">
        <v>161</v>
      </c>
      <c r="D388">
        <v>2</v>
      </c>
      <c r="E388" s="20"/>
      <c r="F388" s="76">
        <v>781.40381282495662</v>
      </c>
      <c r="G388" s="76">
        <v>797.86828422876954</v>
      </c>
      <c r="H388" s="76">
        <v>796.05719237435005</v>
      </c>
      <c r="I388" s="76">
        <v>818.40265742345468</v>
      </c>
      <c r="J388" s="76">
        <v>860.30040439052573</v>
      </c>
      <c r="K388" s="76">
        <v>1016.3476089035227</v>
      </c>
      <c r="L388" s="76">
        <v>1033.1953257113537</v>
      </c>
      <c r="M388" s="76">
        <v>1050.0533187952253</v>
      </c>
      <c r="N388" s="76">
        <v>1066.3333887983658</v>
      </c>
      <c r="O388" s="76">
        <v>1080.7698167846877</v>
      </c>
      <c r="P388" s="76">
        <v>1094.4065301816704</v>
      </c>
      <c r="Q388" s="76">
        <v>1107.8505380063882</v>
      </c>
      <c r="R388" s="76">
        <v>1120.8854177825403</v>
      </c>
      <c r="S388" s="76">
        <v>1132.8874121907068</v>
      </c>
      <c r="T388" s="76">
        <v>1145.6591060738315</v>
      </c>
      <c r="U388" s="76">
        <v>1158.682937043402</v>
      </c>
      <c r="V388" s="76">
        <v>1171.6969815288678</v>
      </c>
    </row>
    <row r="389" spans="1:22" x14ac:dyDescent="0.3">
      <c r="A389" s="3" t="str">
        <f>INDEX(Mapping!$Y:$Y,MATCH($C389,Mapping!$W:$W,0))</f>
        <v>Metro</v>
      </c>
      <c r="B389" s="3" t="str">
        <f>INDEX(Mapping!$V:$V,MATCH(C389,Mapping!$W:$W,0))</f>
        <v>SEV</v>
      </c>
      <c r="C389" t="s">
        <v>161</v>
      </c>
      <c r="D389">
        <v>3</v>
      </c>
      <c r="E389" s="20"/>
      <c r="F389" s="76">
        <v>774.09243212016179</v>
      </c>
      <c r="G389" s="76">
        <v>790.40284999037169</v>
      </c>
      <c r="H389" s="76">
        <v>788.60870402464855</v>
      </c>
      <c r="I389" s="76">
        <v>796.05719237435005</v>
      </c>
      <c r="J389" s="76">
        <v>818.40265742345468</v>
      </c>
      <c r="K389" s="76">
        <v>860.30040439052573</v>
      </c>
      <c r="L389" s="76">
        <v>1016.3476089035227</v>
      </c>
      <c r="M389" s="76">
        <v>1033.1953257113537</v>
      </c>
      <c r="N389" s="76">
        <v>1050.0533187952253</v>
      </c>
      <c r="O389" s="76">
        <v>1066.3333887983658</v>
      </c>
      <c r="P389" s="76">
        <v>1080.7698167846877</v>
      </c>
      <c r="Q389" s="76">
        <v>1094.4065301816704</v>
      </c>
      <c r="R389" s="76">
        <v>1107.8505380063882</v>
      </c>
      <c r="S389" s="76">
        <v>1120.8854177825403</v>
      </c>
      <c r="T389" s="76">
        <v>1132.8874121907068</v>
      </c>
      <c r="U389" s="76">
        <v>1145.6591060738315</v>
      </c>
      <c r="V389" s="76">
        <v>1158.682937043402</v>
      </c>
    </row>
    <row r="390" spans="1:22" x14ac:dyDescent="0.3">
      <c r="A390" s="3" t="str">
        <f>INDEX(Mapping!$Y:$Y,MATCH($C390,Mapping!$W:$W,0))</f>
        <v>Metro</v>
      </c>
      <c r="B390" s="3" t="str">
        <f>INDEX(Mapping!$V:$V,MATCH(C390,Mapping!$W:$W,0))</f>
        <v>SEV</v>
      </c>
      <c r="C390" t="s">
        <v>161</v>
      </c>
      <c r="D390">
        <v>4</v>
      </c>
      <c r="E390" s="20"/>
      <c r="F390" s="76">
        <v>782.31773541305608</v>
      </c>
      <c r="G390" s="76">
        <v>798.80146350856933</v>
      </c>
      <c r="H390" s="76">
        <v>796.98825341806287</v>
      </c>
      <c r="I390" s="76">
        <v>788.60870402464855</v>
      </c>
      <c r="J390" s="76">
        <v>796.05719237435005</v>
      </c>
      <c r="K390" s="76">
        <v>818.40265742345468</v>
      </c>
      <c r="L390" s="76">
        <v>860.30040439052573</v>
      </c>
      <c r="M390" s="76">
        <v>1016.3476089035227</v>
      </c>
      <c r="N390" s="76">
        <v>1033.1953257113537</v>
      </c>
      <c r="O390" s="76">
        <v>1050.0533187952253</v>
      </c>
      <c r="P390" s="76">
        <v>1066.3333887983658</v>
      </c>
      <c r="Q390" s="76">
        <v>1080.7698167846877</v>
      </c>
      <c r="R390" s="76">
        <v>1094.4065301816704</v>
      </c>
      <c r="S390" s="76">
        <v>1107.8505380063882</v>
      </c>
      <c r="T390" s="76">
        <v>1120.8854177825403</v>
      </c>
      <c r="U390" s="76">
        <v>1132.8874121907068</v>
      </c>
      <c r="V390" s="76">
        <v>1145.6591060738315</v>
      </c>
    </row>
    <row r="391" spans="1:22" x14ac:dyDescent="0.3">
      <c r="A391" s="3" t="str">
        <f>INDEX(Mapping!$Y:$Y,MATCH($C391,Mapping!$W:$W,0))</f>
        <v>Metro</v>
      </c>
      <c r="B391" s="3" t="str">
        <f>INDEX(Mapping!$V:$V,MATCH(C391,Mapping!$W:$W,0))</f>
        <v>SEV</v>
      </c>
      <c r="C391" t="s">
        <v>161</v>
      </c>
      <c r="D391">
        <v>5</v>
      </c>
      <c r="E391" s="20"/>
      <c r="F391" s="76">
        <v>741.7985750048141</v>
      </c>
      <c r="G391" s="76">
        <v>743.24051607933745</v>
      </c>
      <c r="H391" s="76">
        <v>754.13518197573649</v>
      </c>
      <c r="I391" s="76">
        <v>796.98825341806287</v>
      </c>
      <c r="J391" s="76">
        <v>788.60870402464855</v>
      </c>
      <c r="K391" s="76">
        <v>796.05719237435005</v>
      </c>
      <c r="L391" s="76">
        <v>818.40265742345468</v>
      </c>
      <c r="M391" s="76">
        <v>860.30040439052573</v>
      </c>
      <c r="N391" s="76">
        <v>1016.3476089035227</v>
      </c>
      <c r="O391" s="76">
        <v>1033.1953257113537</v>
      </c>
      <c r="P391" s="76">
        <v>1050.0533187952253</v>
      </c>
      <c r="Q391" s="76">
        <v>1066.3333887983658</v>
      </c>
      <c r="R391" s="76">
        <v>1080.7698167846877</v>
      </c>
      <c r="S391" s="76">
        <v>1094.4065301816704</v>
      </c>
      <c r="T391" s="76">
        <v>1107.8505380063882</v>
      </c>
      <c r="U391" s="76">
        <v>1120.8854177825403</v>
      </c>
      <c r="V391" s="76">
        <v>1132.8874121907068</v>
      </c>
    </row>
    <row r="392" spans="1:22" x14ac:dyDescent="0.3">
      <c r="A392" s="3" t="str">
        <f>INDEX(Mapping!$Y:$Y,MATCH($C392,Mapping!$W:$W,0))</f>
        <v>Rural</v>
      </c>
      <c r="B392" s="3" t="str">
        <f>INDEX(Mapping!$V:$V,MATCH(C392,Mapping!$W:$W,0))</f>
        <v>NEV</v>
      </c>
      <c r="C392" t="s">
        <v>124</v>
      </c>
      <c r="D392">
        <v>0</v>
      </c>
      <c r="E392" s="20"/>
      <c r="F392" s="76">
        <v>65.512544802867382</v>
      </c>
      <c r="G392" s="76">
        <v>67.010752688172047</v>
      </c>
      <c r="H392" s="76">
        <v>66.193548387096783</v>
      </c>
      <c r="I392" s="76">
        <v>70.150102514894741</v>
      </c>
      <c r="J392" s="76">
        <v>70.61708872456046</v>
      </c>
      <c r="K392" s="76">
        <v>71.08557984947852</v>
      </c>
      <c r="L392" s="76">
        <v>71.548290431123021</v>
      </c>
      <c r="M392" s="76">
        <v>71.96335324380594</v>
      </c>
      <c r="N392" s="76">
        <v>72.391507129704038</v>
      </c>
      <c r="O392" s="76">
        <v>72.837333289049553</v>
      </c>
      <c r="P392" s="76">
        <v>73.279259109182775</v>
      </c>
      <c r="Q392" s="76">
        <v>73.717939803933106</v>
      </c>
      <c r="R392" s="76">
        <v>74.170729849845785</v>
      </c>
      <c r="S392" s="76">
        <v>74.630222658369775</v>
      </c>
      <c r="T392" s="76">
        <v>75.09887188490292</v>
      </c>
      <c r="U392" s="76">
        <v>75.57745176704357</v>
      </c>
      <c r="V392" s="76">
        <v>76.04983459330596</v>
      </c>
    </row>
    <row r="393" spans="1:22" x14ac:dyDescent="0.3">
      <c r="A393" s="3" t="str">
        <f>INDEX(Mapping!$Y:$Y,MATCH($C393,Mapping!$W:$W,0))</f>
        <v>Rural</v>
      </c>
      <c r="B393" s="3" t="str">
        <f>INDEX(Mapping!$V:$V,MATCH(C393,Mapping!$W:$W,0))</f>
        <v>NEV</v>
      </c>
      <c r="C393" t="s">
        <v>124</v>
      </c>
      <c r="D393">
        <v>1</v>
      </c>
      <c r="E393" s="20"/>
      <c r="F393" s="76">
        <v>83.614695340501797</v>
      </c>
      <c r="G393" s="76">
        <v>85.526881720430111</v>
      </c>
      <c r="H393" s="76">
        <v>84.483870967741936</v>
      </c>
      <c r="I393" s="76">
        <v>66.193548387096783</v>
      </c>
      <c r="J393" s="76">
        <v>70.150102514894741</v>
      </c>
      <c r="K393" s="76">
        <v>70.61708872456046</v>
      </c>
      <c r="L393" s="76">
        <v>71.08557984947852</v>
      </c>
      <c r="M393" s="76">
        <v>71.548290431123021</v>
      </c>
      <c r="N393" s="76">
        <v>71.96335324380594</v>
      </c>
      <c r="O393" s="76">
        <v>72.391507129704038</v>
      </c>
      <c r="P393" s="76">
        <v>72.837333289049553</v>
      </c>
      <c r="Q393" s="76">
        <v>73.279259109182775</v>
      </c>
      <c r="R393" s="76">
        <v>73.717939803933106</v>
      </c>
      <c r="S393" s="76">
        <v>74.170729849845785</v>
      </c>
      <c r="T393" s="76">
        <v>74.630222658369775</v>
      </c>
      <c r="U393" s="76">
        <v>75.09887188490292</v>
      </c>
      <c r="V393" s="76">
        <v>75.57745176704357</v>
      </c>
    </row>
    <row r="394" spans="1:22" x14ac:dyDescent="0.3">
      <c r="A394" s="3" t="str">
        <f>INDEX(Mapping!$Y:$Y,MATCH($C394,Mapping!$W:$W,0))</f>
        <v>Rural</v>
      </c>
      <c r="B394" s="3" t="str">
        <f>INDEX(Mapping!$V:$V,MATCH(C394,Mapping!$W:$W,0))</f>
        <v>NEV</v>
      </c>
      <c r="C394" t="s">
        <v>124</v>
      </c>
      <c r="D394">
        <v>2</v>
      </c>
      <c r="E394" s="20"/>
      <c r="F394" s="76">
        <v>80.166666666666657</v>
      </c>
      <c r="G394" s="76">
        <v>82</v>
      </c>
      <c r="H394" s="76">
        <v>81</v>
      </c>
      <c r="I394" s="76">
        <v>84.483870967741936</v>
      </c>
      <c r="J394" s="76">
        <v>66.193548387096783</v>
      </c>
      <c r="K394" s="76">
        <v>70.150102514894741</v>
      </c>
      <c r="L394" s="76">
        <v>70.61708872456046</v>
      </c>
      <c r="M394" s="76">
        <v>71.08557984947852</v>
      </c>
      <c r="N394" s="76">
        <v>71.548290431123021</v>
      </c>
      <c r="O394" s="76">
        <v>71.96335324380594</v>
      </c>
      <c r="P394" s="76">
        <v>72.391507129704038</v>
      </c>
      <c r="Q394" s="76">
        <v>72.837333289049553</v>
      </c>
      <c r="R394" s="76">
        <v>73.279259109182775</v>
      </c>
      <c r="S394" s="76">
        <v>73.717939803933106</v>
      </c>
      <c r="T394" s="76">
        <v>74.170729849845785</v>
      </c>
      <c r="U394" s="76">
        <v>74.630222658369775</v>
      </c>
      <c r="V394" s="76">
        <v>75.09887188490292</v>
      </c>
    </row>
    <row r="395" spans="1:22" x14ac:dyDescent="0.3">
      <c r="A395" s="3" t="str">
        <f>INDEX(Mapping!$Y:$Y,MATCH($C395,Mapping!$W:$W,0))</f>
        <v>Rural</v>
      </c>
      <c r="B395" s="3" t="str">
        <f>INDEX(Mapping!$V:$V,MATCH(C395,Mapping!$W:$W,0))</f>
        <v>NEV</v>
      </c>
      <c r="C395" t="s">
        <v>124</v>
      </c>
      <c r="D395">
        <v>3</v>
      </c>
      <c r="E395" s="20"/>
      <c r="F395" s="76">
        <v>76.718637992831546</v>
      </c>
      <c r="G395" s="76">
        <v>78.473118279569889</v>
      </c>
      <c r="H395" s="76">
        <v>77.516129032258064</v>
      </c>
      <c r="I395" s="76">
        <v>81</v>
      </c>
      <c r="J395" s="76">
        <v>84.483870967741936</v>
      </c>
      <c r="K395" s="76">
        <v>66.193548387096783</v>
      </c>
      <c r="L395" s="76">
        <v>70.150102514894741</v>
      </c>
      <c r="M395" s="76">
        <v>70.61708872456046</v>
      </c>
      <c r="N395" s="76">
        <v>71.08557984947852</v>
      </c>
      <c r="O395" s="76">
        <v>71.548290431123021</v>
      </c>
      <c r="P395" s="76">
        <v>71.96335324380594</v>
      </c>
      <c r="Q395" s="76">
        <v>72.391507129704038</v>
      </c>
      <c r="R395" s="76">
        <v>72.837333289049553</v>
      </c>
      <c r="S395" s="76">
        <v>73.279259109182775</v>
      </c>
      <c r="T395" s="76">
        <v>73.717939803933106</v>
      </c>
      <c r="U395" s="76">
        <v>74.170729849845785</v>
      </c>
      <c r="V395" s="76">
        <v>74.630222658369775</v>
      </c>
    </row>
    <row r="396" spans="1:22" x14ac:dyDescent="0.3">
      <c r="A396" s="3" t="str">
        <f>INDEX(Mapping!$Y:$Y,MATCH($C396,Mapping!$W:$W,0))</f>
        <v>Rural</v>
      </c>
      <c r="B396" s="3" t="str">
        <f>INDEX(Mapping!$V:$V,MATCH(C396,Mapping!$W:$W,0))</f>
        <v>NEV</v>
      </c>
      <c r="C396" t="s">
        <v>124</v>
      </c>
      <c r="D396">
        <v>4</v>
      </c>
      <c r="E396" s="20"/>
      <c r="F396" s="76">
        <v>86.200716845878134</v>
      </c>
      <c r="G396" s="76">
        <v>88.172043010752688</v>
      </c>
      <c r="H396" s="76">
        <v>87.096774193548384</v>
      </c>
      <c r="I396" s="76">
        <v>77.516129032258064</v>
      </c>
      <c r="J396" s="76">
        <v>81</v>
      </c>
      <c r="K396" s="76">
        <v>84.483870967741936</v>
      </c>
      <c r="L396" s="76">
        <v>66.193548387096783</v>
      </c>
      <c r="M396" s="76">
        <v>70.150102514894741</v>
      </c>
      <c r="N396" s="76">
        <v>70.61708872456046</v>
      </c>
      <c r="O396" s="76">
        <v>71.08557984947852</v>
      </c>
      <c r="P396" s="76">
        <v>71.548290431123021</v>
      </c>
      <c r="Q396" s="76">
        <v>71.96335324380594</v>
      </c>
      <c r="R396" s="76">
        <v>72.391507129704038</v>
      </c>
      <c r="S396" s="76">
        <v>72.837333289049553</v>
      </c>
      <c r="T396" s="76">
        <v>73.279259109182775</v>
      </c>
      <c r="U396" s="76">
        <v>73.717939803933106</v>
      </c>
      <c r="V396" s="76">
        <v>74.170729849845785</v>
      </c>
    </row>
    <row r="397" spans="1:22" x14ac:dyDescent="0.3">
      <c r="A397" s="3" t="str">
        <f>INDEX(Mapping!$Y:$Y,MATCH($C397,Mapping!$W:$W,0))</f>
        <v>Rural</v>
      </c>
      <c r="B397" s="3" t="str">
        <f>INDEX(Mapping!$V:$V,MATCH(C397,Mapping!$W:$W,0))</f>
        <v>NEV</v>
      </c>
      <c r="C397" t="s">
        <v>124</v>
      </c>
      <c r="D397">
        <v>5</v>
      </c>
      <c r="E397" s="20"/>
      <c r="F397" s="76">
        <v>101.7078853046595</v>
      </c>
      <c r="G397" s="76">
        <v>102.44623655913978</v>
      </c>
      <c r="H397" s="76">
        <v>100.78494623655914</v>
      </c>
      <c r="I397" s="76">
        <v>87.096774193548384</v>
      </c>
      <c r="J397" s="76">
        <v>77.516129032258064</v>
      </c>
      <c r="K397" s="76">
        <v>81</v>
      </c>
      <c r="L397" s="76">
        <v>84.483870967741936</v>
      </c>
      <c r="M397" s="76">
        <v>66.193548387096783</v>
      </c>
      <c r="N397" s="76">
        <v>70.150102514894741</v>
      </c>
      <c r="O397" s="76">
        <v>70.61708872456046</v>
      </c>
      <c r="P397" s="76">
        <v>71.08557984947852</v>
      </c>
      <c r="Q397" s="76">
        <v>71.548290431123021</v>
      </c>
      <c r="R397" s="76">
        <v>71.96335324380594</v>
      </c>
      <c r="S397" s="76">
        <v>72.391507129704038</v>
      </c>
      <c r="T397" s="76">
        <v>72.837333289049553</v>
      </c>
      <c r="U397" s="76">
        <v>73.279259109182775</v>
      </c>
      <c r="V397" s="76">
        <v>73.717939803933106</v>
      </c>
    </row>
    <row r="398" spans="1:22" x14ac:dyDescent="0.3">
      <c r="A398" s="3" t="str">
        <f>INDEX(Mapping!$Y:$Y,MATCH($C398,Mapping!$W:$W,0))</f>
        <v>Rural</v>
      </c>
      <c r="B398" s="3" t="str">
        <f>INDEX(Mapping!$V:$V,MATCH(C398,Mapping!$W:$W,0))</f>
        <v>SWV</v>
      </c>
      <c r="C398" t="s">
        <v>185</v>
      </c>
      <c r="D398">
        <v>0</v>
      </c>
      <c r="E398" s="20"/>
      <c r="F398" s="76">
        <v>293.17387466902034</v>
      </c>
      <c r="G398" s="76">
        <v>296.54368932038835</v>
      </c>
      <c r="H398" s="76">
        <v>294.49249779346866</v>
      </c>
      <c r="I398" s="76">
        <v>327.13162687539261</v>
      </c>
      <c r="J398" s="76">
        <v>333.4266040478069</v>
      </c>
      <c r="K398" s="76">
        <v>340.37746077245492</v>
      </c>
      <c r="L398" s="76">
        <v>347.66497634132537</v>
      </c>
      <c r="M398" s="76">
        <v>355.2883324409226</v>
      </c>
      <c r="N398" s="76">
        <v>363.03750515674039</v>
      </c>
      <c r="O398" s="76">
        <v>370.88035894589024</v>
      </c>
      <c r="P398" s="76">
        <v>378.71051444093763</v>
      </c>
      <c r="Q398" s="76">
        <v>386.59433031935384</v>
      </c>
      <c r="R398" s="76">
        <v>394.39832433294487</v>
      </c>
      <c r="S398" s="76">
        <v>402.23314710267766</v>
      </c>
      <c r="T398" s="76">
        <v>410.08699083142938</v>
      </c>
      <c r="U398" s="76">
        <v>417.96086579537365</v>
      </c>
      <c r="V398" s="76">
        <v>425.83920681623954</v>
      </c>
    </row>
    <row r="399" spans="1:22" x14ac:dyDescent="0.3">
      <c r="A399" s="3" t="str">
        <f>INDEX(Mapping!$Y:$Y,MATCH($C399,Mapping!$W:$W,0))</f>
        <v>Rural</v>
      </c>
      <c r="B399" s="3" t="str">
        <f>INDEX(Mapping!$V:$V,MATCH(C399,Mapping!$W:$W,0))</f>
        <v>SWV</v>
      </c>
      <c r="C399" t="s">
        <v>185</v>
      </c>
      <c r="D399">
        <v>1</v>
      </c>
      <c r="E399" s="20"/>
      <c r="F399" s="76">
        <v>303.77052074139453</v>
      </c>
      <c r="G399" s="76">
        <v>307.26213592233012</v>
      </c>
      <c r="H399" s="76">
        <v>305.13680494263019</v>
      </c>
      <c r="I399" s="76">
        <v>294.49249779346866</v>
      </c>
      <c r="J399" s="76">
        <v>327.13162687539261</v>
      </c>
      <c r="K399" s="76">
        <v>333.4266040478069</v>
      </c>
      <c r="L399" s="76">
        <v>340.37746077245492</v>
      </c>
      <c r="M399" s="76">
        <v>347.66497634132537</v>
      </c>
      <c r="N399" s="76">
        <v>355.2883324409226</v>
      </c>
      <c r="O399" s="76">
        <v>363.03750515674039</v>
      </c>
      <c r="P399" s="76">
        <v>370.88035894589024</v>
      </c>
      <c r="Q399" s="76">
        <v>378.71051444093763</v>
      </c>
      <c r="R399" s="76">
        <v>386.59433031935384</v>
      </c>
      <c r="S399" s="76">
        <v>394.39832433294487</v>
      </c>
      <c r="T399" s="76">
        <v>402.23314710267766</v>
      </c>
      <c r="U399" s="76">
        <v>410.08699083142938</v>
      </c>
      <c r="V399" s="76">
        <v>417.96086579537365</v>
      </c>
    </row>
    <row r="400" spans="1:22" x14ac:dyDescent="0.3">
      <c r="A400" s="3" t="str">
        <f>INDEX(Mapping!$Y:$Y,MATCH($C400,Mapping!$W:$W,0))</f>
        <v>Rural</v>
      </c>
      <c r="B400" s="3" t="str">
        <f>INDEX(Mapping!$V:$V,MATCH(C400,Mapping!$W:$W,0))</f>
        <v>SWV</v>
      </c>
      <c r="C400" t="s">
        <v>185</v>
      </c>
      <c r="D400">
        <v>2</v>
      </c>
      <c r="E400" s="20"/>
      <c r="F400" s="76">
        <v>332.02824360105916</v>
      </c>
      <c r="G400" s="76">
        <v>335.84466019417476</v>
      </c>
      <c r="H400" s="76">
        <v>333.52162400706089</v>
      </c>
      <c r="I400" s="76">
        <v>305.13680494263019</v>
      </c>
      <c r="J400" s="76">
        <v>294.49249779346866</v>
      </c>
      <c r="K400" s="76">
        <v>327.13162687539261</v>
      </c>
      <c r="L400" s="76">
        <v>333.4266040478069</v>
      </c>
      <c r="M400" s="76">
        <v>340.37746077245492</v>
      </c>
      <c r="N400" s="76">
        <v>347.66497634132537</v>
      </c>
      <c r="O400" s="76">
        <v>355.2883324409226</v>
      </c>
      <c r="P400" s="76">
        <v>363.03750515674039</v>
      </c>
      <c r="Q400" s="76">
        <v>370.88035894589024</v>
      </c>
      <c r="R400" s="76">
        <v>378.71051444093763</v>
      </c>
      <c r="S400" s="76">
        <v>386.59433031935384</v>
      </c>
      <c r="T400" s="76">
        <v>394.39832433294487</v>
      </c>
      <c r="U400" s="76">
        <v>402.23314710267766</v>
      </c>
      <c r="V400" s="76">
        <v>410.08699083142938</v>
      </c>
    </row>
    <row r="401" spans="1:22" x14ac:dyDescent="0.3">
      <c r="A401" s="3" t="str">
        <f>INDEX(Mapping!$Y:$Y,MATCH($C401,Mapping!$W:$W,0))</f>
        <v>Rural</v>
      </c>
      <c r="B401" s="3" t="str">
        <f>INDEX(Mapping!$V:$V,MATCH(C401,Mapping!$W:$W,0))</f>
        <v>SWV</v>
      </c>
      <c r="C401" t="s">
        <v>185</v>
      </c>
      <c r="D401">
        <v>3</v>
      </c>
      <c r="E401" s="20"/>
      <c r="F401" s="76">
        <v>351.45542806707851</v>
      </c>
      <c r="G401" s="76">
        <v>355.49514563106794</v>
      </c>
      <c r="H401" s="76">
        <v>353.03618711385701</v>
      </c>
      <c r="I401" s="76">
        <v>333.52162400706089</v>
      </c>
      <c r="J401" s="76">
        <v>305.13680494263019</v>
      </c>
      <c r="K401" s="76">
        <v>294.49249779346866</v>
      </c>
      <c r="L401" s="76">
        <v>327.13162687539261</v>
      </c>
      <c r="M401" s="76">
        <v>333.4266040478069</v>
      </c>
      <c r="N401" s="76">
        <v>340.37746077245492</v>
      </c>
      <c r="O401" s="76">
        <v>347.66497634132537</v>
      </c>
      <c r="P401" s="76">
        <v>355.2883324409226</v>
      </c>
      <c r="Q401" s="76">
        <v>363.03750515674039</v>
      </c>
      <c r="R401" s="76">
        <v>370.88035894589024</v>
      </c>
      <c r="S401" s="76">
        <v>378.71051444093763</v>
      </c>
      <c r="T401" s="76">
        <v>386.59433031935384</v>
      </c>
      <c r="U401" s="76">
        <v>394.39832433294487</v>
      </c>
      <c r="V401" s="76">
        <v>402.23314710267766</v>
      </c>
    </row>
    <row r="402" spans="1:22" x14ac:dyDescent="0.3">
      <c r="A402" s="3" t="str">
        <f>INDEX(Mapping!$Y:$Y,MATCH($C402,Mapping!$W:$W,0))</f>
        <v>Rural</v>
      </c>
      <c r="B402" s="3" t="str">
        <f>INDEX(Mapping!$V:$V,MATCH(C402,Mapping!$W:$W,0))</f>
        <v>SWV</v>
      </c>
      <c r="C402" t="s">
        <v>185</v>
      </c>
      <c r="D402">
        <v>4</v>
      </c>
      <c r="E402" s="20"/>
      <c r="F402" s="76">
        <v>354.98764342453666</v>
      </c>
      <c r="G402" s="76">
        <v>359.06796116504853</v>
      </c>
      <c r="H402" s="76">
        <v>356.58428949691086</v>
      </c>
      <c r="I402" s="76">
        <v>353.03618711385701</v>
      </c>
      <c r="J402" s="76">
        <v>333.52162400706089</v>
      </c>
      <c r="K402" s="76">
        <v>305.13680494263019</v>
      </c>
      <c r="L402" s="76">
        <v>294.49249779346866</v>
      </c>
      <c r="M402" s="76">
        <v>327.13162687539261</v>
      </c>
      <c r="N402" s="76">
        <v>333.4266040478069</v>
      </c>
      <c r="O402" s="76">
        <v>340.37746077245492</v>
      </c>
      <c r="P402" s="76">
        <v>347.66497634132537</v>
      </c>
      <c r="Q402" s="76">
        <v>355.2883324409226</v>
      </c>
      <c r="R402" s="76">
        <v>363.03750515674039</v>
      </c>
      <c r="S402" s="76">
        <v>370.88035894589024</v>
      </c>
      <c r="T402" s="76">
        <v>378.71051444093763</v>
      </c>
      <c r="U402" s="76">
        <v>386.59433031935384</v>
      </c>
      <c r="V402" s="76">
        <v>394.39832433294487</v>
      </c>
    </row>
    <row r="403" spans="1:22" x14ac:dyDescent="0.3">
      <c r="A403" s="3" t="str">
        <f>INDEX(Mapping!$Y:$Y,MATCH($C403,Mapping!$W:$W,0))</f>
        <v>Rural</v>
      </c>
      <c r="B403" s="3" t="str">
        <f>INDEX(Mapping!$V:$V,MATCH(C403,Mapping!$W:$W,0))</f>
        <v>SWV</v>
      </c>
      <c r="C403" t="s">
        <v>185</v>
      </c>
      <c r="D403">
        <v>5</v>
      </c>
      <c r="E403" s="20"/>
      <c r="F403" s="76">
        <v>388.23918799646952</v>
      </c>
      <c r="G403" s="76">
        <v>401.21094439541042</v>
      </c>
      <c r="H403" s="76">
        <v>407.60547219770518</v>
      </c>
      <c r="I403" s="76">
        <v>356.58428949691086</v>
      </c>
      <c r="J403" s="76">
        <v>353.03618711385701</v>
      </c>
      <c r="K403" s="76">
        <v>333.52162400706089</v>
      </c>
      <c r="L403" s="76">
        <v>305.13680494263019</v>
      </c>
      <c r="M403" s="76">
        <v>294.49249779346866</v>
      </c>
      <c r="N403" s="76">
        <v>327.13162687539261</v>
      </c>
      <c r="O403" s="76">
        <v>333.4266040478069</v>
      </c>
      <c r="P403" s="76">
        <v>340.37746077245492</v>
      </c>
      <c r="Q403" s="76">
        <v>347.66497634132537</v>
      </c>
      <c r="R403" s="76">
        <v>355.2883324409226</v>
      </c>
      <c r="S403" s="76">
        <v>363.03750515674039</v>
      </c>
      <c r="T403" s="76">
        <v>370.88035894589024</v>
      </c>
      <c r="U403" s="76">
        <v>378.71051444093763</v>
      </c>
      <c r="V403" s="76">
        <v>386.59433031935384</v>
      </c>
    </row>
    <row r="404" spans="1:22" x14ac:dyDescent="0.3">
      <c r="A404" s="3" t="str">
        <f>INDEX(Mapping!$Y:$Y,MATCH($C404,Mapping!$W:$W,0))</f>
        <v>Rural</v>
      </c>
      <c r="B404" s="3" t="str">
        <f>INDEX(Mapping!$V:$V,MATCH(C404,Mapping!$W:$W,0))</f>
        <v>NWV</v>
      </c>
      <c r="C404" t="s">
        <v>144</v>
      </c>
      <c r="D404">
        <v>0</v>
      </c>
      <c r="E404" s="20"/>
      <c r="F404" s="76">
        <v>232.33685518955872</v>
      </c>
      <c r="G404" s="76">
        <v>224.25419515226847</v>
      </c>
      <c r="H404" s="76">
        <v>226.15599751398383</v>
      </c>
      <c r="I404" s="76">
        <v>246.79871213292932</v>
      </c>
      <c r="J404" s="76">
        <v>246.89005280935254</v>
      </c>
      <c r="K404" s="76">
        <v>247.17308436509441</v>
      </c>
      <c r="L404" s="76">
        <v>247.46352619639552</v>
      </c>
      <c r="M404" s="76">
        <v>247.72278622777006</v>
      </c>
      <c r="N404" s="76">
        <v>248.01726523807164</v>
      </c>
      <c r="O404" s="76">
        <v>248.3070377108744</v>
      </c>
      <c r="P404" s="76">
        <v>248.59327956421322</v>
      </c>
      <c r="Q404" s="76">
        <v>248.88967801923786</v>
      </c>
      <c r="R404" s="76">
        <v>249.17424033940787</v>
      </c>
      <c r="S404" s="76">
        <v>249.48382897635526</v>
      </c>
      <c r="T404" s="76">
        <v>249.8667490132537</v>
      </c>
      <c r="U404" s="76">
        <v>250.29376152788183</v>
      </c>
      <c r="V404" s="76">
        <v>250.73787312023418</v>
      </c>
    </row>
    <row r="405" spans="1:22" x14ac:dyDescent="0.3">
      <c r="A405" s="3" t="str">
        <f>INDEX(Mapping!$Y:$Y,MATCH($C405,Mapping!$W:$W,0))</f>
        <v>Rural</v>
      </c>
      <c r="B405" s="3" t="str">
        <f>INDEX(Mapping!$V:$V,MATCH(C405,Mapping!$W:$W,0))</f>
        <v>NWV</v>
      </c>
      <c r="C405" t="s">
        <v>144</v>
      </c>
      <c r="D405">
        <v>1</v>
      </c>
      <c r="E405" s="20"/>
      <c r="F405" s="76">
        <v>244.18147917961468</v>
      </c>
      <c r="G405" s="76">
        <v>235.68676196395279</v>
      </c>
      <c r="H405" s="76">
        <v>237.68551895587322</v>
      </c>
      <c r="I405" s="76">
        <v>226.15599751398383</v>
      </c>
      <c r="J405" s="76">
        <v>246.79871213292932</v>
      </c>
      <c r="K405" s="76">
        <v>246.89005280935254</v>
      </c>
      <c r="L405" s="76">
        <v>247.17308436509441</v>
      </c>
      <c r="M405" s="76">
        <v>247.46352619639552</v>
      </c>
      <c r="N405" s="76">
        <v>247.72278622777006</v>
      </c>
      <c r="O405" s="76">
        <v>248.01726523807164</v>
      </c>
      <c r="P405" s="76">
        <v>248.3070377108744</v>
      </c>
      <c r="Q405" s="76">
        <v>248.59327956421322</v>
      </c>
      <c r="R405" s="76">
        <v>248.88967801923786</v>
      </c>
      <c r="S405" s="76">
        <v>249.17424033940787</v>
      </c>
      <c r="T405" s="76">
        <v>249.48382897635526</v>
      </c>
      <c r="U405" s="76">
        <v>249.8667490132537</v>
      </c>
      <c r="V405" s="76">
        <v>250.29376152788183</v>
      </c>
    </row>
    <row r="406" spans="1:22" x14ac:dyDescent="0.3">
      <c r="A406" s="3" t="str">
        <f>INDEX(Mapping!$Y:$Y,MATCH($C406,Mapping!$W:$W,0))</f>
        <v>Rural</v>
      </c>
      <c r="B406" s="3" t="str">
        <f>INDEX(Mapping!$V:$V,MATCH(C406,Mapping!$W:$W,0))</f>
        <v>NWV</v>
      </c>
      <c r="C406" t="s">
        <v>144</v>
      </c>
      <c r="D406">
        <v>2</v>
      </c>
      <c r="E406" s="20"/>
      <c r="F406" s="76">
        <v>219.58110627719077</v>
      </c>
      <c r="G406" s="76">
        <v>211.9422001243008</v>
      </c>
      <c r="H406" s="76">
        <v>213.73958980733372</v>
      </c>
      <c r="I406" s="76">
        <v>237.68551895587322</v>
      </c>
      <c r="J406" s="76">
        <v>226.15599751398383</v>
      </c>
      <c r="K406" s="76">
        <v>246.79871213292932</v>
      </c>
      <c r="L406" s="76">
        <v>246.89005280935254</v>
      </c>
      <c r="M406" s="76">
        <v>247.17308436509441</v>
      </c>
      <c r="N406" s="76">
        <v>247.46352619639552</v>
      </c>
      <c r="O406" s="76">
        <v>247.72278622777006</v>
      </c>
      <c r="P406" s="76">
        <v>248.01726523807164</v>
      </c>
      <c r="Q406" s="76">
        <v>248.3070377108744</v>
      </c>
      <c r="R406" s="76">
        <v>248.59327956421322</v>
      </c>
      <c r="S406" s="76">
        <v>248.88967801923786</v>
      </c>
      <c r="T406" s="76">
        <v>249.17424033940787</v>
      </c>
      <c r="U406" s="76">
        <v>249.48382897635526</v>
      </c>
      <c r="V406" s="76">
        <v>249.8667490132537</v>
      </c>
    </row>
    <row r="407" spans="1:22" x14ac:dyDescent="0.3">
      <c r="A407" s="3" t="str">
        <f>INDEX(Mapping!$Y:$Y,MATCH($C407,Mapping!$W:$W,0))</f>
        <v>Rural</v>
      </c>
      <c r="B407" s="3" t="str">
        <f>INDEX(Mapping!$V:$V,MATCH(C407,Mapping!$W:$W,0))</f>
        <v>NWV</v>
      </c>
      <c r="C407" t="s">
        <v>144</v>
      </c>
      <c r="D407">
        <v>3</v>
      </c>
      <c r="E407" s="20"/>
      <c r="F407" s="76">
        <v>248.73710379117463</v>
      </c>
      <c r="G407" s="76">
        <v>240.08390304536979</v>
      </c>
      <c r="H407" s="76">
        <v>242.1199502796768</v>
      </c>
      <c r="I407" s="76">
        <v>213.73958980733372</v>
      </c>
      <c r="J407" s="76">
        <v>237.68551895587322</v>
      </c>
      <c r="K407" s="76">
        <v>226.15599751398383</v>
      </c>
      <c r="L407" s="76">
        <v>246.79871213292932</v>
      </c>
      <c r="M407" s="76">
        <v>246.89005280935254</v>
      </c>
      <c r="N407" s="76">
        <v>247.17308436509441</v>
      </c>
      <c r="O407" s="76">
        <v>247.46352619639552</v>
      </c>
      <c r="P407" s="76">
        <v>247.72278622777006</v>
      </c>
      <c r="Q407" s="76">
        <v>248.01726523807164</v>
      </c>
      <c r="R407" s="76">
        <v>248.3070377108744</v>
      </c>
      <c r="S407" s="76">
        <v>248.59327956421322</v>
      </c>
      <c r="T407" s="76">
        <v>248.88967801923786</v>
      </c>
      <c r="U407" s="76">
        <v>249.17424033940787</v>
      </c>
      <c r="V407" s="76">
        <v>249.48382897635526</v>
      </c>
    </row>
    <row r="408" spans="1:22" x14ac:dyDescent="0.3">
      <c r="A408" s="3" t="str">
        <f>INDEX(Mapping!$Y:$Y,MATCH($C408,Mapping!$W:$W,0))</f>
        <v>Rural</v>
      </c>
      <c r="B408" s="3" t="str">
        <f>INDEX(Mapping!$V:$V,MATCH(C408,Mapping!$W:$W,0))</f>
        <v>NWV</v>
      </c>
      <c r="C408" t="s">
        <v>144</v>
      </c>
      <c r="D408">
        <v>4</v>
      </c>
      <c r="E408" s="20"/>
      <c r="F408" s="76">
        <v>265.13735239279055</v>
      </c>
      <c r="G408" s="76">
        <v>255.91361093847109</v>
      </c>
      <c r="H408" s="76">
        <v>258.08390304536982</v>
      </c>
      <c r="I408" s="76">
        <v>242.1199502796768</v>
      </c>
      <c r="J408" s="76">
        <v>213.73958980733372</v>
      </c>
      <c r="K408" s="76">
        <v>237.68551895587322</v>
      </c>
      <c r="L408" s="76">
        <v>226.15599751398383</v>
      </c>
      <c r="M408" s="76">
        <v>246.79871213292932</v>
      </c>
      <c r="N408" s="76">
        <v>246.89005280935254</v>
      </c>
      <c r="O408" s="76">
        <v>247.17308436509441</v>
      </c>
      <c r="P408" s="76">
        <v>247.46352619639552</v>
      </c>
      <c r="Q408" s="76">
        <v>247.72278622777006</v>
      </c>
      <c r="R408" s="76">
        <v>248.01726523807164</v>
      </c>
      <c r="S408" s="76">
        <v>248.3070377108744</v>
      </c>
      <c r="T408" s="76">
        <v>248.59327956421322</v>
      </c>
      <c r="U408" s="76">
        <v>248.88967801923786</v>
      </c>
      <c r="V408" s="76">
        <v>249.17424033940787</v>
      </c>
    </row>
    <row r="409" spans="1:22" x14ac:dyDescent="0.3">
      <c r="A409" s="3" t="str">
        <f>INDEX(Mapping!$Y:$Y,MATCH($C409,Mapping!$W:$W,0))</f>
        <v>Rural</v>
      </c>
      <c r="B409" s="3" t="str">
        <f>INDEX(Mapping!$V:$V,MATCH(C409,Mapping!$W:$W,0))</f>
        <v>NWV</v>
      </c>
      <c r="C409" t="s">
        <v>144</v>
      </c>
      <c r="D409">
        <v>5</v>
      </c>
      <c r="E409" s="20"/>
      <c r="F409" s="76">
        <v>234.89434431323807</v>
      </c>
      <c r="G409" s="76">
        <v>242.75326289620884</v>
      </c>
      <c r="H409" s="76">
        <v>246.24611559975142</v>
      </c>
      <c r="I409" s="76">
        <v>258.08390304536982</v>
      </c>
      <c r="J409" s="76">
        <v>242.1199502796768</v>
      </c>
      <c r="K409" s="76">
        <v>213.73958980733372</v>
      </c>
      <c r="L409" s="76">
        <v>237.68551895587322</v>
      </c>
      <c r="M409" s="76">
        <v>226.15599751398383</v>
      </c>
      <c r="N409" s="76">
        <v>246.79871213292932</v>
      </c>
      <c r="O409" s="76">
        <v>246.89005280935254</v>
      </c>
      <c r="P409" s="76">
        <v>247.17308436509441</v>
      </c>
      <c r="Q409" s="76">
        <v>247.46352619639552</v>
      </c>
      <c r="R409" s="76">
        <v>247.72278622777006</v>
      </c>
      <c r="S409" s="76">
        <v>248.01726523807164</v>
      </c>
      <c r="T409" s="76">
        <v>248.3070377108744</v>
      </c>
      <c r="U409" s="76">
        <v>248.59327956421322</v>
      </c>
      <c r="V409" s="76">
        <v>248.88967801923786</v>
      </c>
    </row>
    <row r="410" spans="1:22" x14ac:dyDescent="0.3">
      <c r="A410" s="3" t="str">
        <f>INDEX(Mapping!$Y:$Y,MATCH($C410,Mapping!$W:$W,0))</f>
        <v>Rural</v>
      </c>
      <c r="B410" s="3" t="str">
        <f>INDEX(Mapping!$V:$V,MATCH(C410,Mapping!$W:$W,0))</f>
        <v>NEV</v>
      </c>
      <c r="C410" t="s">
        <v>125</v>
      </c>
      <c r="D410">
        <v>0</v>
      </c>
      <c r="E410" s="20"/>
      <c r="F410" s="76">
        <v>48.656534954407292</v>
      </c>
      <c r="G410" s="76">
        <v>52.711246200607903</v>
      </c>
      <c r="H410" s="76">
        <v>55.88449848024316</v>
      </c>
      <c r="I410" s="76">
        <v>52.475081930606635</v>
      </c>
      <c r="J410" s="76">
        <v>52.311960027360954</v>
      </c>
      <c r="K410" s="76">
        <v>52.14759634408879</v>
      </c>
      <c r="L410" s="76">
        <v>51.98732484607099</v>
      </c>
      <c r="M410" s="76">
        <v>51.823918683144534</v>
      </c>
      <c r="N410" s="76">
        <v>51.675376960708455</v>
      </c>
      <c r="O410" s="76">
        <v>51.533700667013534</v>
      </c>
      <c r="P410" s="76">
        <v>51.39383894477686</v>
      </c>
      <c r="Q410" s="76">
        <v>51.256320876508319</v>
      </c>
      <c r="R410" s="76">
        <v>51.110394187701544</v>
      </c>
      <c r="S410" s="76">
        <v>50.969197990043234</v>
      </c>
      <c r="T410" s="76">
        <v>50.834268489780108</v>
      </c>
      <c r="U410" s="76">
        <v>50.705959487062032</v>
      </c>
      <c r="V410" s="76">
        <v>50.573370682859981</v>
      </c>
    </row>
    <row r="411" spans="1:22" x14ac:dyDescent="0.3">
      <c r="A411" s="3" t="str">
        <f>INDEX(Mapping!$Y:$Y,MATCH($C411,Mapping!$W:$W,0))</f>
        <v>Rural</v>
      </c>
      <c r="B411" s="3" t="str">
        <f>INDEX(Mapping!$V:$V,MATCH(C411,Mapping!$W:$W,0))</f>
        <v>NEV</v>
      </c>
      <c r="C411" t="s">
        <v>125</v>
      </c>
      <c r="D411">
        <v>1</v>
      </c>
      <c r="E411" s="20"/>
      <c r="F411" s="76">
        <v>41.106382978723403</v>
      </c>
      <c r="G411" s="76">
        <v>44.531914893617021</v>
      </c>
      <c r="H411" s="76">
        <v>47.212765957446805</v>
      </c>
      <c r="I411" s="76">
        <v>55.88449848024316</v>
      </c>
      <c r="J411" s="76">
        <v>52.475081930606635</v>
      </c>
      <c r="K411" s="76">
        <v>52.311960027360954</v>
      </c>
      <c r="L411" s="76">
        <v>52.14759634408879</v>
      </c>
      <c r="M411" s="76">
        <v>51.98732484607099</v>
      </c>
      <c r="N411" s="76">
        <v>51.823918683144534</v>
      </c>
      <c r="O411" s="76">
        <v>51.675376960708455</v>
      </c>
      <c r="P411" s="76">
        <v>51.533700667013534</v>
      </c>
      <c r="Q411" s="76">
        <v>51.39383894477686</v>
      </c>
      <c r="R411" s="76">
        <v>51.256320876508319</v>
      </c>
      <c r="S411" s="76">
        <v>51.110394187701544</v>
      </c>
      <c r="T411" s="76">
        <v>50.969197990043234</v>
      </c>
      <c r="U411" s="76">
        <v>50.834268489780108</v>
      </c>
      <c r="V411" s="76">
        <v>50.705959487062032</v>
      </c>
    </row>
    <row r="412" spans="1:22" x14ac:dyDescent="0.3">
      <c r="A412" s="3" t="str">
        <f>INDEX(Mapping!$Y:$Y,MATCH($C412,Mapping!$W:$W,0))</f>
        <v>Rural</v>
      </c>
      <c r="B412" s="3" t="str">
        <f>INDEX(Mapping!$V:$V,MATCH(C412,Mapping!$W:$W,0))</f>
        <v>NEV</v>
      </c>
      <c r="C412" t="s">
        <v>125</v>
      </c>
      <c r="D412">
        <v>2</v>
      </c>
      <c r="E412" s="20"/>
      <c r="F412" s="76">
        <v>48.656534954407292</v>
      </c>
      <c r="G412" s="76">
        <v>52.711246200607903</v>
      </c>
      <c r="H412" s="76">
        <v>55.88449848024316</v>
      </c>
      <c r="I412" s="76">
        <v>47.212765957446805</v>
      </c>
      <c r="J412" s="76">
        <v>55.88449848024316</v>
      </c>
      <c r="K412" s="76">
        <v>52.475081930606635</v>
      </c>
      <c r="L412" s="76">
        <v>52.311960027360954</v>
      </c>
      <c r="M412" s="76">
        <v>52.14759634408879</v>
      </c>
      <c r="N412" s="76">
        <v>51.98732484607099</v>
      </c>
      <c r="O412" s="76">
        <v>51.823918683144534</v>
      </c>
      <c r="P412" s="76">
        <v>51.675376960708455</v>
      </c>
      <c r="Q412" s="76">
        <v>51.533700667013534</v>
      </c>
      <c r="R412" s="76">
        <v>51.39383894477686</v>
      </c>
      <c r="S412" s="76">
        <v>51.256320876508319</v>
      </c>
      <c r="T412" s="76">
        <v>51.110394187701544</v>
      </c>
      <c r="U412" s="76">
        <v>50.969197990043234</v>
      </c>
      <c r="V412" s="76">
        <v>50.834268489780108</v>
      </c>
    </row>
    <row r="413" spans="1:22" x14ac:dyDescent="0.3">
      <c r="A413" s="3" t="str">
        <f>INDEX(Mapping!$Y:$Y,MATCH($C413,Mapping!$W:$W,0))</f>
        <v>Rural</v>
      </c>
      <c r="B413" s="3" t="str">
        <f>INDEX(Mapping!$V:$V,MATCH(C413,Mapping!$W:$W,0))</f>
        <v>NEV</v>
      </c>
      <c r="C413" t="s">
        <v>125</v>
      </c>
      <c r="D413">
        <v>3</v>
      </c>
      <c r="E413" s="20"/>
      <c r="F413" s="76">
        <v>48.656534954407292</v>
      </c>
      <c r="G413" s="76">
        <v>52.711246200607903</v>
      </c>
      <c r="H413" s="76">
        <v>55.88449848024316</v>
      </c>
      <c r="I413" s="76">
        <v>55.88449848024316</v>
      </c>
      <c r="J413" s="76">
        <v>47.212765957446805</v>
      </c>
      <c r="K413" s="76">
        <v>55.88449848024316</v>
      </c>
      <c r="L413" s="76">
        <v>52.475081930606635</v>
      </c>
      <c r="M413" s="76">
        <v>52.311960027360954</v>
      </c>
      <c r="N413" s="76">
        <v>52.14759634408879</v>
      </c>
      <c r="O413" s="76">
        <v>51.98732484607099</v>
      </c>
      <c r="P413" s="76">
        <v>51.823918683144534</v>
      </c>
      <c r="Q413" s="76">
        <v>51.675376960708455</v>
      </c>
      <c r="R413" s="76">
        <v>51.533700667013534</v>
      </c>
      <c r="S413" s="76">
        <v>51.39383894477686</v>
      </c>
      <c r="T413" s="76">
        <v>51.256320876508319</v>
      </c>
      <c r="U413" s="76">
        <v>51.110394187701544</v>
      </c>
      <c r="V413" s="76">
        <v>50.969197990043234</v>
      </c>
    </row>
    <row r="414" spans="1:22" x14ac:dyDescent="0.3">
      <c r="A414" s="3" t="str">
        <f>INDEX(Mapping!$Y:$Y,MATCH($C414,Mapping!$W:$W,0))</f>
        <v>Rural</v>
      </c>
      <c r="B414" s="3" t="str">
        <f>INDEX(Mapping!$V:$V,MATCH(C414,Mapping!$W:$W,0))</f>
        <v>NEV</v>
      </c>
      <c r="C414" t="s">
        <v>125</v>
      </c>
      <c r="D414">
        <v>4</v>
      </c>
      <c r="E414" s="20"/>
      <c r="F414" s="76">
        <v>46.139817629179333</v>
      </c>
      <c r="G414" s="76">
        <v>49.984802431610937</v>
      </c>
      <c r="H414" s="76">
        <v>52.993920972644375</v>
      </c>
      <c r="I414" s="76">
        <v>55.88449848024316</v>
      </c>
      <c r="J414" s="76">
        <v>55.88449848024316</v>
      </c>
      <c r="K414" s="76">
        <v>47.212765957446805</v>
      </c>
      <c r="L414" s="76">
        <v>55.88449848024316</v>
      </c>
      <c r="M414" s="76">
        <v>52.475081930606635</v>
      </c>
      <c r="N414" s="76">
        <v>52.311960027360954</v>
      </c>
      <c r="O414" s="76">
        <v>52.14759634408879</v>
      </c>
      <c r="P414" s="76">
        <v>51.98732484607099</v>
      </c>
      <c r="Q414" s="76">
        <v>51.823918683144534</v>
      </c>
      <c r="R414" s="76">
        <v>51.675376960708455</v>
      </c>
      <c r="S414" s="76">
        <v>51.533700667013534</v>
      </c>
      <c r="T414" s="76">
        <v>51.39383894477686</v>
      </c>
      <c r="U414" s="76">
        <v>51.256320876508319</v>
      </c>
      <c r="V414" s="76">
        <v>51.110394187701544</v>
      </c>
    </row>
    <row r="415" spans="1:22" x14ac:dyDescent="0.3">
      <c r="A415" s="3" t="str">
        <f>INDEX(Mapping!$Y:$Y,MATCH($C415,Mapping!$W:$W,0))</f>
        <v>Rural</v>
      </c>
      <c r="B415" s="3" t="str">
        <f>INDEX(Mapping!$V:$V,MATCH(C415,Mapping!$W:$W,0))</f>
        <v>NEV</v>
      </c>
      <c r="C415" t="s">
        <v>125</v>
      </c>
      <c r="D415">
        <v>5</v>
      </c>
      <c r="E415" s="20"/>
      <c r="F415" s="76">
        <v>51.465045592705167</v>
      </c>
      <c r="G415" s="76">
        <v>52.085106382978722</v>
      </c>
      <c r="H415" s="76">
        <v>48.829787234042549</v>
      </c>
      <c r="I415" s="76">
        <v>52.993920972644375</v>
      </c>
      <c r="J415" s="76">
        <v>55.88449848024316</v>
      </c>
      <c r="K415" s="76">
        <v>55.88449848024316</v>
      </c>
      <c r="L415" s="76">
        <v>47.212765957446805</v>
      </c>
      <c r="M415" s="76">
        <v>55.88449848024316</v>
      </c>
      <c r="N415" s="76">
        <v>52.475081930606635</v>
      </c>
      <c r="O415" s="76">
        <v>52.311960027360954</v>
      </c>
      <c r="P415" s="76">
        <v>52.14759634408879</v>
      </c>
      <c r="Q415" s="76">
        <v>51.98732484607099</v>
      </c>
      <c r="R415" s="76">
        <v>51.823918683144534</v>
      </c>
      <c r="S415" s="76">
        <v>51.675376960708455</v>
      </c>
      <c r="T415" s="76">
        <v>51.533700667013534</v>
      </c>
      <c r="U415" s="76">
        <v>51.39383894477686</v>
      </c>
      <c r="V415" s="76">
        <v>51.256320876508319</v>
      </c>
    </row>
    <row r="416" spans="1:22" x14ac:dyDescent="0.3">
      <c r="A416" s="3" t="str">
        <f>INDEX(Mapping!$Y:$Y,MATCH($C416,Mapping!$W:$W,0))</f>
        <v>Rural</v>
      </c>
      <c r="B416" s="3" t="str">
        <f>INDEX(Mapping!$V:$V,MATCH(C416,Mapping!$W:$W,0))</f>
        <v>NEV</v>
      </c>
      <c r="C416" t="s">
        <v>126</v>
      </c>
      <c r="D416">
        <v>0</v>
      </c>
      <c r="E416" s="20"/>
      <c r="F416" s="76">
        <v>250.60944206008585</v>
      </c>
      <c r="G416" s="76">
        <v>251.69098712446353</v>
      </c>
      <c r="H416" s="76">
        <v>248.29184549356225</v>
      </c>
      <c r="I416" s="76">
        <v>257.5795886644645</v>
      </c>
      <c r="J416" s="76">
        <v>257.86515463881881</v>
      </c>
      <c r="K416" s="76">
        <v>258.31176388864191</v>
      </c>
      <c r="L416" s="76">
        <v>258.77955489697445</v>
      </c>
      <c r="M416" s="76">
        <v>259.20944324719841</v>
      </c>
      <c r="N416" s="76">
        <v>259.71422563685513</v>
      </c>
      <c r="O416" s="76">
        <v>260.25424776596583</v>
      </c>
      <c r="P416" s="76">
        <v>260.80404312516617</v>
      </c>
      <c r="Q416" s="76">
        <v>261.36610361568046</v>
      </c>
      <c r="R416" s="76">
        <v>261.96615824365915</v>
      </c>
      <c r="S416" s="76">
        <v>262.61397776057549</v>
      </c>
      <c r="T416" s="76">
        <v>263.31789438126953</v>
      </c>
      <c r="U416" s="76">
        <v>264.10889604322421</v>
      </c>
      <c r="V416" s="76">
        <v>264.90185740916462</v>
      </c>
    </row>
    <row r="417" spans="1:22" x14ac:dyDescent="0.3">
      <c r="A417" s="3" t="str">
        <f>INDEX(Mapping!$Y:$Y,MATCH($C417,Mapping!$W:$W,0))</f>
        <v>Rural</v>
      </c>
      <c r="B417" s="3" t="str">
        <f>INDEX(Mapping!$V:$V,MATCH(C417,Mapping!$W:$W,0))</f>
        <v>NEV</v>
      </c>
      <c r="C417" t="s">
        <v>126</v>
      </c>
      <c r="D417">
        <v>1</v>
      </c>
      <c r="E417" s="20"/>
      <c r="F417" s="76">
        <v>262.79184549356222</v>
      </c>
      <c r="G417" s="76">
        <v>263.92596566523605</v>
      </c>
      <c r="H417" s="76">
        <v>260.36158798283259</v>
      </c>
      <c r="I417" s="76">
        <v>248.29184549356225</v>
      </c>
      <c r="J417" s="76">
        <v>257.5795886644645</v>
      </c>
      <c r="K417" s="76">
        <v>257.86515463881881</v>
      </c>
      <c r="L417" s="76">
        <v>258.31176388864191</v>
      </c>
      <c r="M417" s="76">
        <v>258.77955489697445</v>
      </c>
      <c r="N417" s="76">
        <v>259.20944324719841</v>
      </c>
      <c r="O417" s="76">
        <v>259.71422563685513</v>
      </c>
      <c r="P417" s="76">
        <v>260.25424776596583</v>
      </c>
      <c r="Q417" s="76">
        <v>260.80404312516617</v>
      </c>
      <c r="R417" s="76">
        <v>261.36610361568046</v>
      </c>
      <c r="S417" s="76">
        <v>261.96615824365915</v>
      </c>
      <c r="T417" s="76">
        <v>262.61397776057549</v>
      </c>
      <c r="U417" s="76">
        <v>263.31789438126953</v>
      </c>
      <c r="V417" s="76">
        <v>264.10889604322421</v>
      </c>
    </row>
    <row r="418" spans="1:22" x14ac:dyDescent="0.3">
      <c r="A418" s="3" t="str">
        <f>INDEX(Mapping!$Y:$Y,MATCH($C418,Mapping!$W:$W,0))</f>
        <v>Rural</v>
      </c>
      <c r="B418" s="3" t="str">
        <f>INDEX(Mapping!$V:$V,MATCH(C418,Mapping!$W:$W,0))</f>
        <v>NEV</v>
      </c>
      <c r="C418" t="s">
        <v>126</v>
      </c>
      <c r="D418">
        <v>2</v>
      </c>
      <c r="E418" s="20"/>
      <c r="F418" s="76">
        <v>245.38841201716738</v>
      </c>
      <c r="G418" s="76">
        <v>246.44742489270388</v>
      </c>
      <c r="H418" s="76">
        <v>243.11909871244634</v>
      </c>
      <c r="I418" s="76">
        <v>260.36158798283259</v>
      </c>
      <c r="J418" s="76">
        <v>248.29184549356225</v>
      </c>
      <c r="K418" s="76">
        <v>257.5795886644645</v>
      </c>
      <c r="L418" s="76">
        <v>257.86515463881881</v>
      </c>
      <c r="M418" s="76">
        <v>258.31176388864191</v>
      </c>
      <c r="N418" s="76">
        <v>258.77955489697445</v>
      </c>
      <c r="O418" s="76">
        <v>259.20944324719841</v>
      </c>
      <c r="P418" s="76">
        <v>259.71422563685513</v>
      </c>
      <c r="Q418" s="76">
        <v>260.25424776596583</v>
      </c>
      <c r="R418" s="76">
        <v>260.80404312516617</v>
      </c>
      <c r="S418" s="76">
        <v>261.36610361568046</v>
      </c>
      <c r="T418" s="76">
        <v>261.96615824365915</v>
      </c>
      <c r="U418" s="76">
        <v>262.61397776057549</v>
      </c>
      <c r="V418" s="76">
        <v>263.31789438126953</v>
      </c>
    </row>
    <row r="419" spans="1:22" x14ac:dyDescent="0.3">
      <c r="A419" s="3" t="str">
        <f>INDEX(Mapping!$Y:$Y,MATCH($C419,Mapping!$W:$W,0))</f>
        <v>Rural</v>
      </c>
      <c r="B419" s="3" t="str">
        <f>INDEX(Mapping!$V:$V,MATCH(C419,Mapping!$W:$W,0))</f>
        <v>NEV</v>
      </c>
      <c r="C419" t="s">
        <v>126</v>
      </c>
      <c r="D419">
        <v>3</v>
      </c>
      <c r="E419" s="20"/>
      <c r="F419" s="76">
        <v>275.84442060085837</v>
      </c>
      <c r="G419" s="76">
        <v>277.03487124463521</v>
      </c>
      <c r="H419" s="76">
        <v>273.29345493562232</v>
      </c>
      <c r="I419" s="76">
        <v>243.11909871244634</v>
      </c>
      <c r="J419" s="76">
        <v>260.36158798283259</v>
      </c>
      <c r="K419" s="76">
        <v>248.29184549356225</v>
      </c>
      <c r="L419" s="76">
        <v>257.5795886644645</v>
      </c>
      <c r="M419" s="76">
        <v>257.86515463881881</v>
      </c>
      <c r="N419" s="76">
        <v>258.31176388864191</v>
      </c>
      <c r="O419" s="76">
        <v>258.77955489697445</v>
      </c>
      <c r="P419" s="76">
        <v>259.20944324719841</v>
      </c>
      <c r="Q419" s="76">
        <v>259.71422563685513</v>
      </c>
      <c r="R419" s="76">
        <v>260.25424776596583</v>
      </c>
      <c r="S419" s="76">
        <v>260.80404312516617</v>
      </c>
      <c r="T419" s="76">
        <v>261.36610361568046</v>
      </c>
      <c r="U419" s="76">
        <v>261.96615824365915</v>
      </c>
      <c r="V419" s="76">
        <v>262.61397776057549</v>
      </c>
    </row>
    <row r="420" spans="1:22" x14ac:dyDescent="0.3">
      <c r="A420" s="3" t="str">
        <f>INDEX(Mapping!$Y:$Y,MATCH($C420,Mapping!$W:$W,0))</f>
        <v>Rural</v>
      </c>
      <c r="B420" s="3" t="str">
        <f>INDEX(Mapping!$V:$V,MATCH(C420,Mapping!$W:$W,0))</f>
        <v>NEV</v>
      </c>
      <c r="C420" t="s">
        <v>126</v>
      </c>
      <c r="D420">
        <v>4</v>
      </c>
      <c r="E420" s="20"/>
      <c r="F420" s="76">
        <v>297.5987124463519</v>
      </c>
      <c r="G420" s="76">
        <v>298.88304721030039</v>
      </c>
      <c r="H420" s="76">
        <v>294.84656652360513</v>
      </c>
      <c r="I420" s="76">
        <v>273.29345493562232</v>
      </c>
      <c r="J420" s="76">
        <v>243.11909871244634</v>
      </c>
      <c r="K420" s="76">
        <v>260.36158798283259</v>
      </c>
      <c r="L420" s="76">
        <v>248.29184549356225</v>
      </c>
      <c r="M420" s="76">
        <v>257.5795886644645</v>
      </c>
      <c r="N420" s="76">
        <v>257.86515463881881</v>
      </c>
      <c r="O420" s="76">
        <v>258.31176388864191</v>
      </c>
      <c r="P420" s="76">
        <v>258.77955489697445</v>
      </c>
      <c r="Q420" s="76">
        <v>259.20944324719841</v>
      </c>
      <c r="R420" s="76">
        <v>259.71422563685513</v>
      </c>
      <c r="S420" s="76">
        <v>260.25424776596583</v>
      </c>
      <c r="T420" s="76">
        <v>260.80404312516617</v>
      </c>
      <c r="U420" s="76">
        <v>261.36610361568046</v>
      </c>
      <c r="V420" s="76">
        <v>261.96615824365915</v>
      </c>
    </row>
    <row r="421" spans="1:22" x14ac:dyDescent="0.3">
      <c r="A421" s="3" t="str">
        <f>INDEX(Mapping!$Y:$Y,MATCH($C421,Mapping!$W:$W,0))</f>
        <v>Rural</v>
      </c>
      <c r="B421" s="3" t="str">
        <f>INDEX(Mapping!$V:$V,MATCH(C421,Mapping!$W:$W,0))</f>
        <v>NEV</v>
      </c>
      <c r="C421" t="s">
        <v>126</v>
      </c>
      <c r="D421">
        <v>5</v>
      </c>
      <c r="E421" s="20"/>
      <c r="F421" s="76">
        <v>318.52950643776825</v>
      </c>
      <c r="G421" s="76">
        <v>331.92811158798281</v>
      </c>
      <c r="H421" s="76">
        <v>332.82135193133047</v>
      </c>
      <c r="I421" s="76">
        <v>294.84656652360513</v>
      </c>
      <c r="J421" s="76">
        <v>273.29345493562232</v>
      </c>
      <c r="K421" s="76">
        <v>243.11909871244634</v>
      </c>
      <c r="L421" s="76">
        <v>260.36158798283259</v>
      </c>
      <c r="M421" s="76">
        <v>248.29184549356225</v>
      </c>
      <c r="N421" s="76">
        <v>257.5795886644645</v>
      </c>
      <c r="O421" s="76">
        <v>257.86515463881881</v>
      </c>
      <c r="P421" s="76">
        <v>258.31176388864191</v>
      </c>
      <c r="Q421" s="76">
        <v>258.77955489697445</v>
      </c>
      <c r="R421" s="76">
        <v>259.20944324719841</v>
      </c>
      <c r="S421" s="76">
        <v>259.71422563685513</v>
      </c>
      <c r="T421" s="76">
        <v>260.25424776596583</v>
      </c>
      <c r="U421" s="76">
        <v>260.80404312516617</v>
      </c>
      <c r="V421" s="76">
        <v>261.36610361568046</v>
      </c>
    </row>
    <row r="422" spans="1:22" x14ac:dyDescent="0.3">
      <c r="A422" s="3" t="str">
        <f>INDEX(Mapping!$Y:$Y,MATCH($C422,Mapping!$W:$W,0))</f>
        <v>Rural</v>
      </c>
      <c r="B422" s="3" t="str">
        <f>INDEX(Mapping!$V:$V,MATCH(C422,Mapping!$W:$W,0))</f>
        <v>SWV</v>
      </c>
      <c r="C422" t="s">
        <v>186</v>
      </c>
      <c r="D422">
        <v>0</v>
      </c>
      <c r="E422" s="20"/>
      <c r="F422" s="76">
        <v>352.32454274776688</v>
      </c>
      <c r="G422" s="76">
        <v>349.46831135686944</v>
      </c>
      <c r="H422" s="76">
        <v>345.94002552105485</v>
      </c>
      <c r="I422" s="76">
        <v>403.36635315724897</v>
      </c>
      <c r="J422" s="76">
        <v>407.51831061109607</v>
      </c>
      <c r="K422" s="76">
        <v>411.65526211743713</v>
      </c>
      <c r="L422" s="76">
        <v>415.76978592571851</v>
      </c>
      <c r="M422" s="76">
        <v>419.64798480423752</v>
      </c>
      <c r="N422" s="76">
        <v>423.45859239636434</v>
      </c>
      <c r="O422" s="76">
        <v>427.11124621909062</v>
      </c>
      <c r="P422" s="76">
        <v>430.55377912678358</v>
      </c>
      <c r="Q422" s="76">
        <v>433.91322861746221</v>
      </c>
      <c r="R422" s="76">
        <v>437.26049664343162</v>
      </c>
      <c r="S422" s="76">
        <v>440.60717912028389</v>
      </c>
      <c r="T422" s="76">
        <v>443.95355032921873</v>
      </c>
      <c r="U422" s="76">
        <v>447.30218709018857</v>
      </c>
      <c r="V422" s="76">
        <v>450.64877908401041</v>
      </c>
    </row>
    <row r="423" spans="1:22" x14ac:dyDescent="0.3">
      <c r="A423" s="3" t="str">
        <f>INDEX(Mapping!$Y:$Y,MATCH($C423,Mapping!$W:$W,0))</f>
        <v>Rural</v>
      </c>
      <c r="B423" s="3" t="str">
        <f>INDEX(Mapping!$V:$V,MATCH(C423,Mapping!$W:$W,0))</f>
        <v>SWV</v>
      </c>
      <c r="C423" t="s">
        <v>186</v>
      </c>
      <c r="D423">
        <v>1</v>
      </c>
      <c r="E423" s="20"/>
      <c r="F423" s="76">
        <v>342.5129732028924</v>
      </c>
      <c r="G423" s="76">
        <v>339.73628243300726</v>
      </c>
      <c r="H423" s="76">
        <v>336.30625265844321</v>
      </c>
      <c r="I423" s="76">
        <v>345.94002552105485</v>
      </c>
      <c r="J423" s="76">
        <v>403.36635315724897</v>
      </c>
      <c r="K423" s="76">
        <v>407.51831061109607</v>
      </c>
      <c r="L423" s="76">
        <v>411.65526211743713</v>
      </c>
      <c r="M423" s="76">
        <v>415.76978592571851</v>
      </c>
      <c r="N423" s="76">
        <v>419.64798480423752</v>
      </c>
      <c r="O423" s="76">
        <v>423.45859239636434</v>
      </c>
      <c r="P423" s="76">
        <v>427.11124621909062</v>
      </c>
      <c r="Q423" s="76">
        <v>430.55377912678358</v>
      </c>
      <c r="R423" s="76">
        <v>433.91322861746221</v>
      </c>
      <c r="S423" s="76">
        <v>437.26049664343162</v>
      </c>
      <c r="T423" s="76">
        <v>440.60717912028389</v>
      </c>
      <c r="U423" s="76">
        <v>443.95355032921873</v>
      </c>
      <c r="V423" s="76">
        <v>447.30218709018857</v>
      </c>
    </row>
    <row r="424" spans="1:22" x14ac:dyDescent="0.3">
      <c r="A424" s="3" t="str">
        <f>INDEX(Mapping!$Y:$Y,MATCH($C424,Mapping!$W:$W,0))</f>
        <v>Rural</v>
      </c>
      <c r="B424" s="3" t="str">
        <f>INDEX(Mapping!$V:$V,MATCH(C424,Mapping!$W:$W,0))</f>
        <v>SWV</v>
      </c>
      <c r="C424" t="s">
        <v>186</v>
      </c>
      <c r="D424">
        <v>2</v>
      </c>
      <c r="E424" s="20"/>
      <c r="F424" s="76">
        <v>354.10846448319865</v>
      </c>
      <c r="G424" s="76">
        <v>351.237771161208</v>
      </c>
      <c r="H424" s="76">
        <v>347.69162058698424</v>
      </c>
      <c r="I424" s="76">
        <v>336.30625265844321</v>
      </c>
      <c r="J424" s="76">
        <v>345.94002552105485</v>
      </c>
      <c r="K424" s="76">
        <v>403.36635315724897</v>
      </c>
      <c r="L424" s="76">
        <v>407.51831061109607</v>
      </c>
      <c r="M424" s="76">
        <v>411.65526211743713</v>
      </c>
      <c r="N424" s="76">
        <v>415.76978592571851</v>
      </c>
      <c r="O424" s="76">
        <v>419.64798480423752</v>
      </c>
      <c r="P424" s="76">
        <v>423.45859239636434</v>
      </c>
      <c r="Q424" s="76">
        <v>427.11124621909062</v>
      </c>
      <c r="R424" s="76">
        <v>430.55377912678358</v>
      </c>
      <c r="S424" s="76">
        <v>433.91322861746221</v>
      </c>
      <c r="T424" s="76">
        <v>437.26049664343162</v>
      </c>
      <c r="U424" s="76">
        <v>440.60717912028389</v>
      </c>
      <c r="V424" s="76">
        <v>443.95355032921873</v>
      </c>
    </row>
    <row r="425" spans="1:22" x14ac:dyDescent="0.3">
      <c r="A425" s="3" t="str">
        <f>INDEX(Mapping!$Y:$Y,MATCH($C425,Mapping!$W:$W,0))</f>
        <v>Rural</v>
      </c>
      <c r="B425" s="3" t="str">
        <f>INDEX(Mapping!$V:$V,MATCH(C425,Mapping!$W:$W,0))</f>
        <v>SWV</v>
      </c>
      <c r="C425" t="s">
        <v>186</v>
      </c>
      <c r="D425">
        <v>3</v>
      </c>
      <c r="E425" s="20"/>
      <c r="F425" s="76">
        <v>333.59336452573376</v>
      </c>
      <c r="G425" s="76">
        <v>330.88898341131437</v>
      </c>
      <c r="H425" s="76">
        <v>327.54827732879625</v>
      </c>
      <c r="I425" s="76">
        <v>347.69162058698424</v>
      </c>
      <c r="J425" s="76">
        <v>336.30625265844321</v>
      </c>
      <c r="K425" s="76">
        <v>345.94002552105485</v>
      </c>
      <c r="L425" s="76">
        <v>403.36635315724897</v>
      </c>
      <c r="M425" s="76">
        <v>407.51831061109607</v>
      </c>
      <c r="N425" s="76">
        <v>411.65526211743713</v>
      </c>
      <c r="O425" s="76">
        <v>415.76978592571851</v>
      </c>
      <c r="P425" s="76">
        <v>419.64798480423752</v>
      </c>
      <c r="Q425" s="76">
        <v>423.45859239636434</v>
      </c>
      <c r="R425" s="76">
        <v>427.11124621909062</v>
      </c>
      <c r="S425" s="76">
        <v>430.55377912678358</v>
      </c>
      <c r="T425" s="76">
        <v>433.91322861746221</v>
      </c>
      <c r="U425" s="76">
        <v>437.26049664343162</v>
      </c>
      <c r="V425" s="76">
        <v>440.60717912028389</v>
      </c>
    </row>
    <row r="426" spans="1:22" x14ac:dyDescent="0.3">
      <c r="A426" s="3" t="str">
        <f>INDEX(Mapping!$Y:$Y,MATCH($C426,Mapping!$W:$W,0))</f>
        <v>Rural</v>
      </c>
      <c r="B426" s="3" t="str">
        <f>INDEX(Mapping!$V:$V,MATCH(C426,Mapping!$W:$W,0))</f>
        <v>SWV</v>
      </c>
      <c r="C426" t="s">
        <v>186</v>
      </c>
      <c r="D426">
        <v>4</v>
      </c>
      <c r="E426" s="20"/>
      <c r="F426" s="76">
        <v>358.56826882177796</v>
      </c>
      <c r="G426" s="76">
        <v>355.66142067205448</v>
      </c>
      <c r="H426" s="76">
        <v>352.07060825180776</v>
      </c>
      <c r="I426" s="76">
        <v>327.54827732879625</v>
      </c>
      <c r="J426" s="76">
        <v>347.69162058698424</v>
      </c>
      <c r="K426" s="76">
        <v>336.30625265844321</v>
      </c>
      <c r="L426" s="76">
        <v>345.94002552105485</v>
      </c>
      <c r="M426" s="76">
        <v>403.36635315724897</v>
      </c>
      <c r="N426" s="76">
        <v>407.51831061109607</v>
      </c>
      <c r="O426" s="76">
        <v>411.65526211743713</v>
      </c>
      <c r="P426" s="76">
        <v>415.76978592571851</v>
      </c>
      <c r="Q426" s="76">
        <v>419.64798480423752</v>
      </c>
      <c r="R426" s="76">
        <v>423.45859239636434</v>
      </c>
      <c r="S426" s="76">
        <v>427.11124621909062</v>
      </c>
      <c r="T426" s="76">
        <v>430.55377912678358</v>
      </c>
      <c r="U426" s="76">
        <v>433.91322861746221</v>
      </c>
      <c r="V426" s="76">
        <v>437.26049664343162</v>
      </c>
    </row>
    <row r="427" spans="1:22" x14ac:dyDescent="0.3">
      <c r="A427" s="3" t="str">
        <f>INDEX(Mapping!$Y:$Y,MATCH($C427,Mapping!$W:$W,0))</f>
        <v>Rural</v>
      </c>
      <c r="B427" s="3" t="str">
        <f>INDEX(Mapping!$V:$V,MATCH(C427,Mapping!$W:$W,0))</f>
        <v>SWV</v>
      </c>
      <c r="C427" t="s">
        <v>186</v>
      </c>
      <c r="D427">
        <v>5</v>
      </c>
      <c r="E427" s="20"/>
      <c r="F427" s="76">
        <v>369.29987239472564</v>
      </c>
      <c r="G427" s="76">
        <v>372.35474266269671</v>
      </c>
      <c r="H427" s="76">
        <v>372.35474266269671</v>
      </c>
      <c r="I427" s="76">
        <v>352.07060825180776</v>
      </c>
      <c r="J427" s="76">
        <v>327.54827732879625</v>
      </c>
      <c r="K427" s="76">
        <v>347.69162058698424</v>
      </c>
      <c r="L427" s="76">
        <v>336.30625265844321</v>
      </c>
      <c r="M427" s="76">
        <v>345.94002552105485</v>
      </c>
      <c r="N427" s="76">
        <v>403.36635315724897</v>
      </c>
      <c r="O427" s="76">
        <v>407.51831061109607</v>
      </c>
      <c r="P427" s="76">
        <v>411.65526211743713</v>
      </c>
      <c r="Q427" s="76">
        <v>415.76978592571851</v>
      </c>
      <c r="R427" s="76">
        <v>419.64798480423752</v>
      </c>
      <c r="S427" s="76">
        <v>423.45859239636434</v>
      </c>
      <c r="T427" s="76">
        <v>427.11124621909062</v>
      </c>
      <c r="U427" s="76">
        <v>430.55377912678358</v>
      </c>
      <c r="V427" s="76">
        <v>433.91322861746221</v>
      </c>
    </row>
    <row r="428" spans="1:22" x14ac:dyDescent="0.3">
      <c r="A428" s="3" t="str">
        <f>INDEX(Mapping!$Y:$Y,MATCH($C428,Mapping!$W:$W,0))</f>
        <v>Rural</v>
      </c>
      <c r="B428" s="3" t="str">
        <f>INDEX(Mapping!$V:$V,MATCH(C428,Mapping!$W:$W,0))</f>
        <v>SEV</v>
      </c>
      <c r="C428" t="s">
        <v>162</v>
      </c>
      <c r="D428">
        <v>0</v>
      </c>
      <c r="E428" s="20"/>
      <c r="F428" s="76">
        <v>384.58432304038007</v>
      </c>
      <c r="G428" s="76">
        <v>391.16864608076008</v>
      </c>
      <c r="H428" s="76">
        <v>389.82185273159143</v>
      </c>
      <c r="I428" s="76">
        <v>412.54276942168718</v>
      </c>
      <c r="J428" s="76">
        <v>414.18815509942885</v>
      </c>
      <c r="K428" s="76">
        <v>416.62315212789917</v>
      </c>
      <c r="L428" s="76">
        <v>419.1761824834407</v>
      </c>
      <c r="M428" s="76">
        <v>421.6093682972749</v>
      </c>
      <c r="N428" s="76">
        <v>424.0663045064457</v>
      </c>
      <c r="O428" s="76">
        <v>426.53539963598558</v>
      </c>
      <c r="P428" s="76">
        <v>428.89369153133629</v>
      </c>
      <c r="Q428" s="76">
        <v>431.2945733011511</v>
      </c>
      <c r="R428" s="76">
        <v>433.69284096792762</v>
      </c>
      <c r="S428" s="76">
        <v>436.1045303341802</v>
      </c>
      <c r="T428" s="76">
        <v>438.54590058759442</v>
      </c>
      <c r="U428" s="76">
        <v>440.97603529875795</v>
      </c>
      <c r="V428" s="76">
        <v>443.39170181707004</v>
      </c>
    </row>
    <row r="429" spans="1:22" x14ac:dyDescent="0.3">
      <c r="A429" s="3" t="str">
        <f>INDEX(Mapping!$Y:$Y,MATCH($C429,Mapping!$W:$W,0))</f>
        <v>Rural</v>
      </c>
      <c r="B429" s="3" t="str">
        <f>INDEX(Mapping!$V:$V,MATCH(C429,Mapping!$W:$W,0))</f>
        <v>SEV</v>
      </c>
      <c r="C429" t="s">
        <v>162</v>
      </c>
      <c r="D429">
        <v>1</v>
      </c>
      <c r="E429" s="20"/>
      <c r="F429" s="76">
        <v>422.95554801493046</v>
      </c>
      <c r="G429" s="76">
        <v>430.19681031557514</v>
      </c>
      <c r="H429" s="76">
        <v>428.7156430268069</v>
      </c>
      <c r="I429" s="76">
        <v>389.82185273159143</v>
      </c>
      <c r="J429" s="76">
        <v>412.54276942168718</v>
      </c>
      <c r="K429" s="76">
        <v>414.18815509942885</v>
      </c>
      <c r="L429" s="76">
        <v>416.62315212789917</v>
      </c>
      <c r="M429" s="76">
        <v>419.1761824834407</v>
      </c>
      <c r="N429" s="76">
        <v>421.6093682972749</v>
      </c>
      <c r="O429" s="76">
        <v>424.0663045064457</v>
      </c>
      <c r="P429" s="76">
        <v>426.53539963598558</v>
      </c>
      <c r="Q429" s="76">
        <v>428.89369153133629</v>
      </c>
      <c r="R429" s="76">
        <v>431.2945733011511</v>
      </c>
      <c r="S429" s="76">
        <v>433.69284096792762</v>
      </c>
      <c r="T429" s="76">
        <v>436.1045303341802</v>
      </c>
      <c r="U429" s="76">
        <v>438.54590058759442</v>
      </c>
      <c r="V429" s="76">
        <v>440.97603529875795</v>
      </c>
    </row>
    <row r="430" spans="1:22" x14ac:dyDescent="0.3">
      <c r="A430" s="3" t="str">
        <f>INDEX(Mapping!$Y:$Y,MATCH($C430,Mapping!$W:$W,0))</f>
        <v>Rural</v>
      </c>
      <c r="B430" s="3" t="str">
        <f>INDEX(Mapping!$V:$V,MATCH(C430,Mapping!$W:$W,0))</f>
        <v>SEV</v>
      </c>
      <c r="C430" t="s">
        <v>162</v>
      </c>
      <c r="D430">
        <v>2</v>
      </c>
      <c r="E430" s="20"/>
      <c r="F430" s="76">
        <v>406.3861554122837</v>
      </c>
      <c r="G430" s="76">
        <v>413.34373939599595</v>
      </c>
      <c r="H430" s="76">
        <v>411.92059721750934</v>
      </c>
      <c r="I430" s="76">
        <v>428.7156430268069</v>
      </c>
      <c r="J430" s="76">
        <v>389.82185273159143</v>
      </c>
      <c r="K430" s="76">
        <v>412.54276942168718</v>
      </c>
      <c r="L430" s="76">
        <v>414.18815509942885</v>
      </c>
      <c r="M430" s="76">
        <v>416.62315212789917</v>
      </c>
      <c r="N430" s="76">
        <v>419.1761824834407</v>
      </c>
      <c r="O430" s="76">
        <v>421.6093682972749</v>
      </c>
      <c r="P430" s="76">
        <v>424.0663045064457</v>
      </c>
      <c r="Q430" s="76">
        <v>426.53539963598558</v>
      </c>
      <c r="R430" s="76">
        <v>428.89369153133629</v>
      </c>
      <c r="S430" s="76">
        <v>431.2945733011511</v>
      </c>
      <c r="T430" s="76">
        <v>433.69284096792762</v>
      </c>
      <c r="U430" s="76">
        <v>436.1045303341802</v>
      </c>
      <c r="V430" s="76">
        <v>438.54590058759442</v>
      </c>
    </row>
    <row r="431" spans="1:22" x14ac:dyDescent="0.3">
      <c r="A431" s="3" t="str">
        <f>INDEX(Mapping!$Y:$Y,MATCH($C431,Mapping!$W:$W,0))</f>
        <v>Rural</v>
      </c>
      <c r="B431" s="3" t="str">
        <f>INDEX(Mapping!$V:$V,MATCH(C431,Mapping!$W:$W,0))</f>
        <v>SEV</v>
      </c>
      <c r="C431" t="s">
        <v>162</v>
      </c>
      <c r="D431">
        <v>3</v>
      </c>
      <c r="E431" s="20"/>
      <c r="F431" s="76">
        <v>475.27994570749911</v>
      </c>
      <c r="G431" s="76">
        <v>483.41703427214111</v>
      </c>
      <c r="H431" s="76">
        <v>481.75262979300982</v>
      </c>
      <c r="I431" s="76">
        <v>411.92059721750934</v>
      </c>
      <c r="J431" s="76">
        <v>428.7156430268069</v>
      </c>
      <c r="K431" s="76">
        <v>389.82185273159143</v>
      </c>
      <c r="L431" s="76">
        <v>412.54276942168718</v>
      </c>
      <c r="M431" s="76">
        <v>414.18815509942885</v>
      </c>
      <c r="N431" s="76">
        <v>416.62315212789917</v>
      </c>
      <c r="O431" s="76">
        <v>419.1761824834407</v>
      </c>
      <c r="P431" s="76">
        <v>421.6093682972749</v>
      </c>
      <c r="Q431" s="76">
        <v>424.0663045064457</v>
      </c>
      <c r="R431" s="76">
        <v>426.53539963598558</v>
      </c>
      <c r="S431" s="76">
        <v>428.89369153133629</v>
      </c>
      <c r="T431" s="76">
        <v>431.2945733011511</v>
      </c>
      <c r="U431" s="76">
        <v>433.69284096792762</v>
      </c>
      <c r="V431" s="76">
        <v>436.1045303341802</v>
      </c>
    </row>
    <row r="432" spans="1:22" x14ac:dyDescent="0.3">
      <c r="A432" s="3" t="str">
        <f>INDEX(Mapping!$Y:$Y,MATCH($C432,Mapping!$W:$W,0))</f>
        <v>Rural</v>
      </c>
      <c r="B432" s="3" t="str">
        <f>INDEX(Mapping!$V:$V,MATCH(C432,Mapping!$W:$W,0))</f>
        <v>SEV</v>
      </c>
      <c r="C432" t="s">
        <v>162</v>
      </c>
      <c r="D432">
        <v>4</v>
      </c>
      <c r="E432" s="20"/>
      <c r="F432" s="76">
        <v>441.26908720732945</v>
      </c>
      <c r="G432" s="76">
        <v>448.82388870037323</v>
      </c>
      <c r="H432" s="76">
        <v>447.27858839497793</v>
      </c>
      <c r="I432" s="76">
        <v>481.75262979300982</v>
      </c>
      <c r="J432" s="76">
        <v>411.92059721750934</v>
      </c>
      <c r="K432" s="76">
        <v>428.7156430268069</v>
      </c>
      <c r="L432" s="76">
        <v>389.82185273159143</v>
      </c>
      <c r="M432" s="76">
        <v>412.54276942168718</v>
      </c>
      <c r="N432" s="76">
        <v>414.18815509942885</v>
      </c>
      <c r="O432" s="76">
        <v>416.62315212789917</v>
      </c>
      <c r="P432" s="76">
        <v>419.1761824834407</v>
      </c>
      <c r="Q432" s="76">
        <v>421.6093682972749</v>
      </c>
      <c r="R432" s="76">
        <v>424.0663045064457</v>
      </c>
      <c r="S432" s="76">
        <v>426.53539963598558</v>
      </c>
      <c r="T432" s="76">
        <v>428.89369153133629</v>
      </c>
      <c r="U432" s="76">
        <v>431.2945733011511</v>
      </c>
      <c r="V432" s="76">
        <v>433.69284096792762</v>
      </c>
    </row>
    <row r="433" spans="1:22" x14ac:dyDescent="0.3">
      <c r="A433" s="3" t="str">
        <f>INDEX(Mapping!$Y:$Y,MATCH($C433,Mapping!$W:$W,0))</f>
        <v>Rural</v>
      </c>
      <c r="B433" s="3" t="str">
        <f>INDEX(Mapping!$V:$V,MATCH(C433,Mapping!$W:$W,0))</f>
        <v>SEV</v>
      </c>
      <c r="C433" t="s">
        <v>162</v>
      </c>
      <c r="D433">
        <v>5</v>
      </c>
      <c r="E433" s="20"/>
      <c r="F433" s="76">
        <v>465.00712589073629</v>
      </c>
      <c r="G433" s="76">
        <v>464.66508313539191</v>
      </c>
      <c r="H433" s="76">
        <v>463.46793349168644</v>
      </c>
      <c r="I433" s="76">
        <v>447.27858839497793</v>
      </c>
      <c r="J433" s="76">
        <v>481.75262979300982</v>
      </c>
      <c r="K433" s="76">
        <v>411.92059721750934</v>
      </c>
      <c r="L433" s="76">
        <v>428.7156430268069</v>
      </c>
      <c r="M433" s="76">
        <v>389.82185273159143</v>
      </c>
      <c r="N433" s="76">
        <v>412.54276942168718</v>
      </c>
      <c r="O433" s="76">
        <v>414.18815509942885</v>
      </c>
      <c r="P433" s="76">
        <v>416.62315212789917</v>
      </c>
      <c r="Q433" s="76">
        <v>419.1761824834407</v>
      </c>
      <c r="R433" s="76">
        <v>421.6093682972749</v>
      </c>
      <c r="S433" s="76">
        <v>424.0663045064457</v>
      </c>
      <c r="T433" s="76">
        <v>426.53539963598558</v>
      </c>
      <c r="U433" s="76">
        <v>428.89369153133629</v>
      </c>
      <c r="V433" s="76">
        <v>431.2945733011511</v>
      </c>
    </row>
    <row r="434" spans="1:22" x14ac:dyDescent="0.3">
      <c r="A434" s="3" t="str">
        <f>INDEX(Mapping!$Y:$Y,MATCH($C434,Mapping!$W:$W,0))</f>
        <v>Rural</v>
      </c>
      <c r="B434" s="3" t="str">
        <f>INDEX(Mapping!$V:$V,MATCH(C434,Mapping!$W:$W,0))</f>
        <v>SWV</v>
      </c>
      <c r="C434" t="s">
        <v>187</v>
      </c>
      <c r="D434">
        <v>0</v>
      </c>
      <c r="E434" s="20"/>
      <c r="F434" s="76">
        <v>38.66122448979592</v>
      </c>
      <c r="G434" s="76">
        <v>34.432653061224492</v>
      </c>
      <c r="H434" s="76">
        <v>34.885714285714286</v>
      </c>
      <c r="I434" s="76">
        <v>33.223179884055121</v>
      </c>
      <c r="J434" s="76">
        <v>32.603118179177166</v>
      </c>
      <c r="K434" s="76">
        <v>32.044031334493866</v>
      </c>
      <c r="L434" s="76">
        <v>31.528314437103347</v>
      </c>
      <c r="M434" s="76">
        <v>31.009598191316439</v>
      </c>
      <c r="N434" s="76">
        <v>30.494368184107682</v>
      </c>
      <c r="O434" s="76">
        <v>30.034835399058622</v>
      </c>
      <c r="P434" s="76">
        <v>29.587473600603289</v>
      </c>
      <c r="Q434" s="76">
        <v>29.156697738033607</v>
      </c>
      <c r="R434" s="76">
        <v>28.751508019255098</v>
      </c>
      <c r="S434" s="76">
        <v>28.349206872163215</v>
      </c>
      <c r="T434" s="76">
        <v>27.945606019953011</v>
      </c>
      <c r="U434" s="76">
        <v>27.540539592598659</v>
      </c>
      <c r="V434" s="76">
        <v>27.137366351349311</v>
      </c>
    </row>
    <row r="435" spans="1:22" x14ac:dyDescent="0.3">
      <c r="A435" s="3" t="str">
        <f>INDEX(Mapping!$Y:$Y,MATCH($C435,Mapping!$W:$W,0))</f>
        <v>Rural</v>
      </c>
      <c r="B435" s="3" t="str">
        <f>INDEX(Mapping!$V:$V,MATCH(C435,Mapping!$W:$W,0))</f>
        <v>SWV</v>
      </c>
      <c r="C435" t="s">
        <v>187</v>
      </c>
      <c r="D435">
        <v>1</v>
      </c>
      <c r="E435" s="20"/>
      <c r="F435" s="76">
        <v>55.379591836734697</v>
      </c>
      <c r="G435" s="76">
        <v>49.32244897959184</v>
      </c>
      <c r="H435" s="76">
        <v>49.971428571428575</v>
      </c>
      <c r="I435" s="76">
        <v>34.885714285714286</v>
      </c>
      <c r="J435" s="76">
        <v>33.223179884055121</v>
      </c>
      <c r="K435" s="76">
        <v>32.603118179177166</v>
      </c>
      <c r="L435" s="76">
        <v>32.044031334493866</v>
      </c>
      <c r="M435" s="76">
        <v>31.528314437103347</v>
      </c>
      <c r="N435" s="76">
        <v>31.009598191316439</v>
      </c>
      <c r="O435" s="76">
        <v>30.494368184107682</v>
      </c>
      <c r="P435" s="76">
        <v>30.034835399058622</v>
      </c>
      <c r="Q435" s="76">
        <v>29.587473600603289</v>
      </c>
      <c r="R435" s="76">
        <v>29.156697738033607</v>
      </c>
      <c r="S435" s="76">
        <v>28.751508019255098</v>
      </c>
      <c r="T435" s="76">
        <v>28.349206872163215</v>
      </c>
      <c r="U435" s="76">
        <v>27.945606019953011</v>
      </c>
      <c r="V435" s="76">
        <v>27.540539592598659</v>
      </c>
    </row>
    <row r="436" spans="1:22" x14ac:dyDescent="0.3">
      <c r="A436" s="3" t="str">
        <f>INDEX(Mapping!$Y:$Y,MATCH($C436,Mapping!$W:$W,0))</f>
        <v>Rural</v>
      </c>
      <c r="B436" s="3" t="str">
        <f>INDEX(Mapping!$V:$V,MATCH(C436,Mapping!$W:$W,0))</f>
        <v>SWV</v>
      </c>
      <c r="C436" t="s">
        <v>187</v>
      </c>
      <c r="D436">
        <v>2</v>
      </c>
      <c r="E436" s="20"/>
      <c r="F436" s="76">
        <v>47.020408163265309</v>
      </c>
      <c r="G436" s="76">
        <v>41.877551020408163</v>
      </c>
      <c r="H436" s="76">
        <v>42.428571428571431</v>
      </c>
      <c r="I436" s="76">
        <v>49.971428571428575</v>
      </c>
      <c r="J436" s="76">
        <v>34.885714285714286</v>
      </c>
      <c r="K436" s="76">
        <v>33.223179884055121</v>
      </c>
      <c r="L436" s="76">
        <v>32.603118179177166</v>
      </c>
      <c r="M436" s="76">
        <v>32.044031334493866</v>
      </c>
      <c r="N436" s="76">
        <v>31.528314437103347</v>
      </c>
      <c r="O436" s="76">
        <v>31.009598191316439</v>
      </c>
      <c r="P436" s="76">
        <v>30.494368184107682</v>
      </c>
      <c r="Q436" s="76">
        <v>30.034835399058622</v>
      </c>
      <c r="R436" s="76">
        <v>29.587473600603289</v>
      </c>
      <c r="S436" s="76">
        <v>29.156697738033607</v>
      </c>
      <c r="T436" s="76">
        <v>28.751508019255098</v>
      </c>
      <c r="U436" s="76">
        <v>28.349206872163215</v>
      </c>
      <c r="V436" s="76">
        <v>27.945606019953011</v>
      </c>
    </row>
    <row r="437" spans="1:22" x14ac:dyDescent="0.3">
      <c r="A437" s="3" t="str">
        <f>INDEX(Mapping!$Y:$Y,MATCH($C437,Mapping!$W:$W,0))</f>
        <v>Rural</v>
      </c>
      <c r="B437" s="3" t="str">
        <f>INDEX(Mapping!$V:$V,MATCH(C437,Mapping!$W:$W,0))</f>
        <v>SWV</v>
      </c>
      <c r="C437" t="s">
        <v>187</v>
      </c>
      <c r="D437">
        <v>3</v>
      </c>
      <c r="E437" s="20"/>
      <c r="F437" s="76">
        <v>36.571428571428569</v>
      </c>
      <c r="G437" s="76">
        <v>32.571428571428569</v>
      </c>
      <c r="H437" s="76">
        <v>33</v>
      </c>
      <c r="I437" s="76">
        <v>42.428571428571431</v>
      </c>
      <c r="J437" s="76">
        <v>49.971428571428575</v>
      </c>
      <c r="K437" s="76">
        <v>34.885714285714286</v>
      </c>
      <c r="L437" s="76">
        <v>33.223179884055121</v>
      </c>
      <c r="M437" s="76">
        <v>32.603118179177166</v>
      </c>
      <c r="N437" s="76">
        <v>32.044031334493866</v>
      </c>
      <c r="O437" s="76">
        <v>31.528314437103347</v>
      </c>
      <c r="P437" s="76">
        <v>31.009598191316439</v>
      </c>
      <c r="Q437" s="76">
        <v>30.494368184107682</v>
      </c>
      <c r="R437" s="76">
        <v>30.034835399058622</v>
      </c>
      <c r="S437" s="76">
        <v>29.587473600603289</v>
      </c>
      <c r="T437" s="76">
        <v>29.156697738033607</v>
      </c>
      <c r="U437" s="76">
        <v>28.751508019255098</v>
      </c>
      <c r="V437" s="76">
        <v>28.349206872163215</v>
      </c>
    </row>
    <row r="438" spans="1:22" x14ac:dyDescent="0.3">
      <c r="A438" s="3" t="str">
        <f>INDEX(Mapping!$Y:$Y,MATCH($C438,Mapping!$W:$W,0))</f>
        <v>Rural</v>
      </c>
      <c r="B438" s="3" t="str">
        <f>INDEX(Mapping!$V:$V,MATCH(C438,Mapping!$W:$W,0))</f>
        <v>SWV</v>
      </c>
      <c r="C438" t="s">
        <v>187</v>
      </c>
      <c r="D438">
        <v>4</v>
      </c>
      <c r="E438" s="20"/>
      <c r="F438" s="76">
        <v>38.66122448979592</v>
      </c>
      <c r="G438" s="76">
        <v>34.432653061224492</v>
      </c>
      <c r="H438" s="76">
        <v>34.885714285714286</v>
      </c>
      <c r="I438" s="76">
        <v>33</v>
      </c>
      <c r="J438" s="76">
        <v>42.428571428571431</v>
      </c>
      <c r="K438" s="76">
        <v>49.971428571428575</v>
      </c>
      <c r="L438" s="76">
        <v>34.885714285714286</v>
      </c>
      <c r="M438" s="76">
        <v>33.223179884055121</v>
      </c>
      <c r="N438" s="76">
        <v>32.603118179177166</v>
      </c>
      <c r="O438" s="76">
        <v>32.044031334493866</v>
      </c>
      <c r="P438" s="76">
        <v>31.528314437103347</v>
      </c>
      <c r="Q438" s="76">
        <v>31.009598191316439</v>
      </c>
      <c r="R438" s="76">
        <v>30.494368184107682</v>
      </c>
      <c r="S438" s="76">
        <v>30.034835399058622</v>
      </c>
      <c r="T438" s="76">
        <v>29.587473600603289</v>
      </c>
      <c r="U438" s="76">
        <v>29.156697738033607</v>
      </c>
      <c r="V438" s="76">
        <v>28.751508019255098</v>
      </c>
    </row>
    <row r="439" spans="1:22" x14ac:dyDescent="0.3">
      <c r="A439" s="3" t="str">
        <f>INDEX(Mapping!$Y:$Y,MATCH($C439,Mapping!$W:$W,0))</f>
        <v>Rural</v>
      </c>
      <c r="B439" s="3" t="str">
        <f>INDEX(Mapping!$V:$V,MATCH(C439,Mapping!$W:$W,0))</f>
        <v>SWV</v>
      </c>
      <c r="C439" t="s">
        <v>187</v>
      </c>
      <c r="D439">
        <v>5</v>
      </c>
      <c r="E439" s="20"/>
      <c r="F439" s="76">
        <v>35.053061224489795</v>
      </c>
      <c r="G439" s="76">
        <v>36.759183673469387</v>
      </c>
      <c r="H439" s="76">
        <v>36.138775510204084</v>
      </c>
      <c r="I439" s="76">
        <v>34.885714285714286</v>
      </c>
      <c r="J439" s="76">
        <v>33</v>
      </c>
      <c r="K439" s="76">
        <v>42.428571428571431</v>
      </c>
      <c r="L439" s="76">
        <v>49.971428571428575</v>
      </c>
      <c r="M439" s="76">
        <v>34.885714285714286</v>
      </c>
      <c r="N439" s="76">
        <v>33.223179884055121</v>
      </c>
      <c r="O439" s="76">
        <v>32.603118179177166</v>
      </c>
      <c r="P439" s="76">
        <v>32.044031334493866</v>
      </c>
      <c r="Q439" s="76">
        <v>31.528314437103347</v>
      </c>
      <c r="R439" s="76">
        <v>31.009598191316439</v>
      </c>
      <c r="S439" s="76">
        <v>30.494368184107682</v>
      </c>
      <c r="T439" s="76">
        <v>30.034835399058622</v>
      </c>
      <c r="U439" s="76">
        <v>29.587473600603289</v>
      </c>
      <c r="V439" s="76">
        <v>29.156697738033607</v>
      </c>
    </row>
    <row r="440" spans="1:22" x14ac:dyDescent="0.3">
      <c r="A440" s="3" t="str">
        <f>INDEX(Mapping!$Y:$Y,MATCH($C440,Mapping!$W:$W,0))</f>
        <v>Metro</v>
      </c>
      <c r="B440" s="3" t="str">
        <f>INDEX(Mapping!$V:$V,MATCH(C440,Mapping!$W:$W,0))</f>
        <v>NEV</v>
      </c>
      <c r="C440" t="s">
        <v>127</v>
      </c>
      <c r="D440">
        <v>0</v>
      </c>
      <c r="E440" s="20"/>
      <c r="F440" s="76">
        <v>1351.0275126333522</v>
      </c>
      <c r="G440" s="76">
        <v>1380.2358225715891</v>
      </c>
      <c r="H440" s="76">
        <v>1374.6518809657496</v>
      </c>
      <c r="I440" s="76">
        <v>1597.8518817666445</v>
      </c>
      <c r="J440" s="76">
        <v>1618.0350084533948</v>
      </c>
      <c r="K440" s="76">
        <v>1636.0496021512079</v>
      </c>
      <c r="L440" s="76">
        <v>1652.0307665665023</v>
      </c>
      <c r="M440" s="76">
        <v>1666.5681177748274</v>
      </c>
      <c r="N440" s="76">
        <v>1680.2493971832737</v>
      </c>
      <c r="O440" s="76">
        <v>1693.8182654094746</v>
      </c>
      <c r="P440" s="76">
        <v>1706.6372927295358</v>
      </c>
      <c r="Q440" s="76">
        <v>1719.7865353054196</v>
      </c>
      <c r="R440" s="76">
        <v>1734.3698392378351</v>
      </c>
      <c r="S440" s="76">
        <v>1749.416122010256</v>
      </c>
      <c r="T440" s="76">
        <v>1764.7230694417115</v>
      </c>
      <c r="U440" s="76">
        <v>1780.1841064756372</v>
      </c>
      <c r="V440" s="76">
        <v>1796.01060342557</v>
      </c>
    </row>
    <row r="441" spans="1:22" x14ac:dyDescent="0.3">
      <c r="A441" s="3" t="str">
        <f>INDEX(Mapping!$Y:$Y,MATCH($C441,Mapping!$W:$W,0))</f>
        <v>Metro</v>
      </c>
      <c r="B441" s="3" t="str">
        <f>INDEX(Mapping!$V:$V,MATCH(C441,Mapping!$W:$W,0))</f>
        <v>NEV</v>
      </c>
      <c r="C441" t="s">
        <v>127</v>
      </c>
      <c r="D441">
        <v>1</v>
      </c>
      <c r="E441" s="20"/>
      <c r="F441" s="76">
        <v>1586.7950589556428</v>
      </c>
      <c r="G441" s="76">
        <v>1621.1005053340821</v>
      </c>
      <c r="H441" s="76">
        <v>1614.5421111734981</v>
      </c>
      <c r="I441" s="76">
        <v>1374.6518809657496</v>
      </c>
      <c r="J441" s="76">
        <v>1597.8518817666445</v>
      </c>
      <c r="K441" s="76">
        <v>1618.0350084533948</v>
      </c>
      <c r="L441" s="76">
        <v>1636.0496021512079</v>
      </c>
      <c r="M441" s="76">
        <v>1652.0307665665023</v>
      </c>
      <c r="N441" s="76">
        <v>1666.5681177748274</v>
      </c>
      <c r="O441" s="76">
        <v>1680.2493971832737</v>
      </c>
      <c r="P441" s="76">
        <v>1693.8182654094746</v>
      </c>
      <c r="Q441" s="76">
        <v>1706.6372927295358</v>
      </c>
      <c r="R441" s="76">
        <v>1719.7865353054196</v>
      </c>
      <c r="S441" s="76">
        <v>1734.3698392378351</v>
      </c>
      <c r="T441" s="76">
        <v>1749.416122010256</v>
      </c>
      <c r="U441" s="76">
        <v>1764.7230694417115</v>
      </c>
      <c r="V441" s="76">
        <v>1780.1841064756372</v>
      </c>
    </row>
    <row r="442" spans="1:22" x14ac:dyDescent="0.3">
      <c r="A442" s="3" t="str">
        <f>INDEX(Mapping!$Y:$Y,MATCH($C442,Mapping!$W:$W,0))</f>
        <v>Metro</v>
      </c>
      <c r="B442" s="3" t="str">
        <f>INDEX(Mapping!$V:$V,MATCH(C442,Mapping!$W:$W,0))</f>
        <v>NEV</v>
      </c>
      <c r="C442" t="s">
        <v>127</v>
      </c>
      <c r="D442">
        <v>2</v>
      </c>
      <c r="E442" s="20"/>
      <c r="F442" s="76">
        <v>1573.5496911847276</v>
      </c>
      <c r="G442" s="76">
        <v>1607.5687815833801</v>
      </c>
      <c r="H442" s="76">
        <v>1601.0651319483436</v>
      </c>
      <c r="I442" s="76">
        <v>1614.5421111734981</v>
      </c>
      <c r="J442" s="76">
        <v>1374.6518809657496</v>
      </c>
      <c r="K442" s="76">
        <v>1597.8518817666445</v>
      </c>
      <c r="L442" s="76">
        <v>1618.0350084533948</v>
      </c>
      <c r="M442" s="76">
        <v>1636.0496021512079</v>
      </c>
      <c r="N442" s="76">
        <v>1652.0307665665023</v>
      </c>
      <c r="O442" s="76">
        <v>1666.5681177748274</v>
      </c>
      <c r="P442" s="76">
        <v>1680.2493971832737</v>
      </c>
      <c r="Q442" s="76">
        <v>1693.8182654094746</v>
      </c>
      <c r="R442" s="76">
        <v>1706.6372927295358</v>
      </c>
      <c r="S442" s="76">
        <v>1719.7865353054196</v>
      </c>
      <c r="T442" s="76">
        <v>1734.3698392378351</v>
      </c>
      <c r="U442" s="76">
        <v>1749.416122010256</v>
      </c>
      <c r="V442" s="76">
        <v>1764.7230694417115</v>
      </c>
    </row>
    <row r="443" spans="1:22" x14ac:dyDescent="0.3">
      <c r="A443" s="3" t="str">
        <f>INDEX(Mapping!$Y:$Y,MATCH($C443,Mapping!$W:$W,0))</f>
        <v>Metro</v>
      </c>
      <c r="B443" s="3" t="str">
        <f>INDEX(Mapping!$V:$V,MATCH(C443,Mapping!$W:$W,0))</f>
        <v>NEV</v>
      </c>
      <c r="C443" t="s">
        <v>127</v>
      </c>
      <c r="D443">
        <v>3</v>
      </c>
      <c r="E443" s="20"/>
      <c r="F443" s="76">
        <v>1631.8293093767547</v>
      </c>
      <c r="G443" s="76">
        <v>1667.1083660864683</v>
      </c>
      <c r="H443" s="76">
        <v>1660.3638405390229</v>
      </c>
      <c r="I443" s="76">
        <v>1601.0651319483436</v>
      </c>
      <c r="J443" s="76">
        <v>1614.5421111734981</v>
      </c>
      <c r="K443" s="76">
        <v>1374.6518809657496</v>
      </c>
      <c r="L443" s="76">
        <v>1597.8518817666445</v>
      </c>
      <c r="M443" s="76">
        <v>1618.0350084533948</v>
      </c>
      <c r="N443" s="76">
        <v>1636.0496021512079</v>
      </c>
      <c r="O443" s="76">
        <v>1652.0307665665023</v>
      </c>
      <c r="P443" s="76">
        <v>1666.5681177748274</v>
      </c>
      <c r="Q443" s="76">
        <v>1680.2493971832737</v>
      </c>
      <c r="R443" s="76">
        <v>1693.8182654094746</v>
      </c>
      <c r="S443" s="76">
        <v>1706.6372927295358</v>
      </c>
      <c r="T443" s="76">
        <v>1719.7865353054196</v>
      </c>
      <c r="U443" s="76">
        <v>1734.3698392378351</v>
      </c>
      <c r="V443" s="76">
        <v>1749.416122010256</v>
      </c>
    </row>
    <row r="444" spans="1:22" x14ac:dyDescent="0.3">
      <c r="A444" s="3" t="str">
        <f>INDEX(Mapping!$Y:$Y,MATCH($C444,Mapping!$W:$W,0))</f>
        <v>Metro</v>
      </c>
      <c r="B444" s="3" t="str">
        <f>INDEX(Mapping!$V:$V,MATCH(C444,Mapping!$W:$W,0))</f>
        <v>NEV</v>
      </c>
      <c r="C444" t="s">
        <v>127</v>
      </c>
      <c r="D444">
        <v>4</v>
      </c>
      <c r="E444" s="20"/>
      <c r="F444" s="76">
        <v>1645.9577016657308</v>
      </c>
      <c r="G444" s="76">
        <v>1681.5422047538834</v>
      </c>
      <c r="H444" s="76">
        <v>1674.7392850458543</v>
      </c>
      <c r="I444" s="76">
        <v>1660.3638405390229</v>
      </c>
      <c r="J444" s="76">
        <v>1601.0651319483436</v>
      </c>
      <c r="K444" s="76">
        <v>1614.5421111734981</v>
      </c>
      <c r="L444" s="76">
        <v>1374.6518809657496</v>
      </c>
      <c r="M444" s="76">
        <v>1597.8518817666445</v>
      </c>
      <c r="N444" s="76">
        <v>1618.0350084533948</v>
      </c>
      <c r="O444" s="76">
        <v>1636.0496021512079</v>
      </c>
      <c r="P444" s="76">
        <v>1652.0307665665023</v>
      </c>
      <c r="Q444" s="76">
        <v>1666.5681177748274</v>
      </c>
      <c r="R444" s="76">
        <v>1680.2493971832737</v>
      </c>
      <c r="S444" s="76">
        <v>1693.8182654094746</v>
      </c>
      <c r="T444" s="76">
        <v>1706.6372927295358</v>
      </c>
      <c r="U444" s="76">
        <v>1719.7865353054196</v>
      </c>
      <c r="V444" s="76">
        <v>1734.3698392378351</v>
      </c>
    </row>
    <row r="445" spans="1:22" x14ac:dyDescent="0.3">
      <c r="A445" s="3" t="str">
        <f>INDEX(Mapping!$Y:$Y,MATCH($C445,Mapping!$W:$W,0))</f>
        <v>Metro</v>
      </c>
      <c r="B445" s="3" t="str">
        <f>INDEX(Mapping!$V:$V,MATCH(C445,Mapping!$W:$W,0))</f>
        <v>NEV</v>
      </c>
      <c r="C445" t="s">
        <v>127</v>
      </c>
      <c r="D445">
        <v>5</v>
      </c>
      <c r="E445" s="20"/>
      <c r="F445" s="76">
        <v>1691.3452180422985</v>
      </c>
      <c r="G445" s="76">
        <v>1721.7129889575147</v>
      </c>
      <c r="H445" s="76">
        <v>1743.3543889200826</v>
      </c>
      <c r="I445" s="76">
        <v>1674.7392850458543</v>
      </c>
      <c r="J445" s="76">
        <v>1660.3638405390229</v>
      </c>
      <c r="K445" s="76">
        <v>1601.0651319483436</v>
      </c>
      <c r="L445" s="76">
        <v>1614.5421111734981</v>
      </c>
      <c r="M445" s="76">
        <v>1374.6518809657496</v>
      </c>
      <c r="N445" s="76">
        <v>1597.8518817666445</v>
      </c>
      <c r="O445" s="76">
        <v>1618.0350084533948</v>
      </c>
      <c r="P445" s="76">
        <v>1636.0496021512079</v>
      </c>
      <c r="Q445" s="76">
        <v>1652.0307665665023</v>
      </c>
      <c r="R445" s="76">
        <v>1666.5681177748274</v>
      </c>
      <c r="S445" s="76">
        <v>1680.2493971832737</v>
      </c>
      <c r="T445" s="76">
        <v>1693.8182654094746</v>
      </c>
      <c r="U445" s="76">
        <v>1706.6372927295358</v>
      </c>
      <c r="V445" s="76">
        <v>1719.7865353054196</v>
      </c>
    </row>
    <row r="446" spans="1:22" x14ac:dyDescent="0.3">
      <c r="A446" s="3" t="str">
        <f>INDEX(Mapping!$Y:$Y,MATCH($C446,Mapping!$W:$W,0))</f>
        <v>Interface</v>
      </c>
      <c r="B446" s="3" t="str">
        <f>INDEX(Mapping!$V:$V,MATCH(C446,Mapping!$W:$W,0))</f>
        <v>NWV</v>
      </c>
      <c r="C446" t="s">
        <v>145</v>
      </c>
      <c r="D446">
        <v>0</v>
      </c>
      <c r="E446" s="20"/>
      <c r="F446" s="76">
        <v>2661.2325739722442</v>
      </c>
      <c r="G446" s="76">
        <v>2872.7936108929039</v>
      </c>
      <c r="H446" s="76">
        <v>2984.5335951819848</v>
      </c>
      <c r="I446" s="76">
        <v>3399.010236012612</v>
      </c>
      <c r="J446" s="76">
        <v>3515.3983082796499</v>
      </c>
      <c r="K446" s="76">
        <v>3635.0894484760279</v>
      </c>
      <c r="L446" s="76">
        <v>3754.733012302358</v>
      </c>
      <c r="M446" s="76">
        <v>3878.4568591243474</v>
      </c>
      <c r="N446" s="76">
        <v>4002.0538669294724</v>
      </c>
      <c r="O446" s="76">
        <v>4123.0391903128384</v>
      </c>
      <c r="P446" s="76">
        <v>4240.4419015539361</v>
      </c>
      <c r="Q446" s="76">
        <v>4356.1051781703218</v>
      </c>
      <c r="R446" s="76">
        <v>4471.0717037785253</v>
      </c>
      <c r="S446" s="76">
        <v>4584.1124312702132</v>
      </c>
      <c r="T446" s="76">
        <v>4692.3382558351732</v>
      </c>
      <c r="U446" s="76">
        <v>4799.3048944342381</v>
      </c>
      <c r="V446" s="76">
        <v>4903.6753328696168</v>
      </c>
    </row>
    <row r="447" spans="1:22" x14ac:dyDescent="0.3">
      <c r="A447" s="3" t="str">
        <f>INDEX(Mapping!$Y:$Y,MATCH($C447,Mapping!$W:$W,0))</f>
        <v>Interface</v>
      </c>
      <c r="B447" s="3" t="str">
        <f>INDEX(Mapping!$V:$V,MATCH(C447,Mapping!$W:$W,0))</f>
        <v>NWV</v>
      </c>
      <c r="C447" t="s">
        <v>145</v>
      </c>
      <c r="D447">
        <v>1</v>
      </c>
      <c r="E447" s="20"/>
      <c r="F447" s="76">
        <v>2763.1019638648859</v>
      </c>
      <c r="G447" s="76">
        <v>2982.7613511390414</v>
      </c>
      <c r="H447" s="76">
        <v>3098.7786331500392</v>
      </c>
      <c r="I447" s="76">
        <v>2984.5335951819848</v>
      </c>
      <c r="J447" s="76">
        <v>3399.010236012612</v>
      </c>
      <c r="K447" s="76">
        <v>3515.3983082796499</v>
      </c>
      <c r="L447" s="76">
        <v>3635.0894484760279</v>
      </c>
      <c r="M447" s="76">
        <v>3754.733012302358</v>
      </c>
      <c r="N447" s="76">
        <v>3878.4568591243474</v>
      </c>
      <c r="O447" s="76">
        <v>4002.0538669294724</v>
      </c>
      <c r="P447" s="76">
        <v>4123.0391903128384</v>
      </c>
      <c r="Q447" s="76">
        <v>4240.4419015539361</v>
      </c>
      <c r="R447" s="76">
        <v>4356.1051781703218</v>
      </c>
      <c r="S447" s="76">
        <v>4471.0717037785253</v>
      </c>
      <c r="T447" s="76">
        <v>4584.1124312702132</v>
      </c>
      <c r="U447" s="76">
        <v>4692.3382558351732</v>
      </c>
      <c r="V447" s="76">
        <v>4799.3048944342381</v>
      </c>
    </row>
    <row r="448" spans="1:22" x14ac:dyDescent="0.3">
      <c r="A448" s="3" t="str">
        <f>INDEX(Mapping!$Y:$Y,MATCH($C448,Mapping!$W:$W,0))</f>
        <v>Interface</v>
      </c>
      <c r="B448" s="3" t="str">
        <f>INDEX(Mapping!$V:$V,MATCH(C448,Mapping!$W:$W,0))</f>
        <v>NWV</v>
      </c>
      <c r="C448" t="s">
        <v>145</v>
      </c>
      <c r="D448">
        <v>2</v>
      </c>
      <c r="E448" s="20"/>
      <c r="F448" s="76">
        <v>2804.3548572924847</v>
      </c>
      <c r="G448" s="76">
        <v>3027.2937418172296</v>
      </c>
      <c r="H448" s="76">
        <v>3145.0431526577636</v>
      </c>
      <c r="I448" s="76">
        <v>3098.7786331500392</v>
      </c>
      <c r="J448" s="76">
        <v>2984.5335951819848</v>
      </c>
      <c r="K448" s="76">
        <v>3399.010236012612</v>
      </c>
      <c r="L448" s="76">
        <v>3515.3983082796499</v>
      </c>
      <c r="M448" s="76">
        <v>3635.0894484760279</v>
      </c>
      <c r="N448" s="76">
        <v>3754.733012302358</v>
      </c>
      <c r="O448" s="76">
        <v>3878.4568591243474</v>
      </c>
      <c r="P448" s="76">
        <v>4002.0538669294724</v>
      </c>
      <c r="Q448" s="76">
        <v>4123.0391903128384</v>
      </c>
      <c r="R448" s="76">
        <v>4240.4419015539361</v>
      </c>
      <c r="S448" s="76">
        <v>4356.1051781703218</v>
      </c>
      <c r="T448" s="76">
        <v>4471.0717037785253</v>
      </c>
      <c r="U448" s="76">
        <v>4584.1124312702132</v>
      </c>
      <c r="V448" s="76">
        <v>4692.3382558351732</v>
      </c>
    </row>
    <row r="449" spans="1:22" x14ac:dyDescent="0.3">
      <c r="A449" s="3" t="str">
        <f>INDEX(Mapping!$Y:$Y,MATCH($C449,Mapping!$W:$W,0))</f>
        <v>Interface</v>
      </c>
      <c r="B449" s="3" t="str">
        <f>INDEX(Mapping!$V:$V,MATCH(C449,Mapping!$W:$W,0))</f>
        <v>NWV</v>
      </c>
      <c r="C449" t="s">
        <v>145</v>
      </c>
      <c r="D449">
        <v>3</v>
      </c>
      <c r="E449" s="20"/>
      <c r="F449" s="76">
        <v>2723.5328620057608</v>
      </c>
      <c r="G449" s="76">
        <v>2940.0466090599634</v>
      </c>
      <c r="H449" s="76">
        <v>3054.402461377324</v>
      </c>
      <c r="I449" s="76">
        <v>3145.0431526577636</v>
      </c>
      <c r="J449" s="76">
        <v>3098.7786331500392</v>
      </c>
      <c r="K449" s="76">
        <v>2984.5335951819848</v>
      </c>
      <c r="L449" s="76">
        <v>3399.010236012612</v>
      </c>
      <c r="M449" s="76">
        <v>3515.3983082796499</v>
      </c>
      <c r="N449" s="76">
        <v>3635.0894484760279</v>
      </c>
      <c r="O449" s="76">
        <v>3754.733012302358</v>
      </c>
      <c r="P449" s="76">
        <v>3878.4568591243474</v>
      </c>
      <c r="Q449" s="76">
        <v>4002.0538669294724</v>
      </c>
      <c r="R449" s="76">
        <v>4123.0391903128384</v>
      </c>
      <c r="S449" s="76">
        <v>4240.4419015539361</v>
      </c>
      <c r="T449" s="76">
        <v>4356.1051781703218</v>
      </c>
      <c r="U449" s="76">
        <v>4471.0717037785253</v>
      </c>
      <c r="V449" s="76">
        <v>4584.1124312702132</v>
      </c>
    </row>
    <row r="450" spans="1:22" x14ac:dyDescent="0.3">
      <c r="A450" s="3" t="str">
        <f>INDEX(Mapping!$Y:$Y,MATCH($C450,Mapping!$W:$W,0))</f>
        <v>Interface</v>
      </c>
      <c r="B450" s="3" t="str">
        <f>INDEX(Mapping!$V:$V,MATCH(C450,Mapping!$W:$W,0))</f>
        <v>NWV</v>
      </c>
      <c r="C450" t="s">
        <v>145</v>
      </c>
      <c r="D450">
        <v>4</v>
      </c>
      <c r="E450" s="20"/>
      <c r="F450" s="76">
        <v>2639.3432835820895</v>
      </c>
      <c r="G450" s="76">
        <v>2849.1641791044776</v>
      </c>
      <c r="H450" s="76">
        <v>2959.9850746268658</v>
      </c>
      <c r="I450" s="76">
        <v>3054.402461377324</v>
      </c>
      <c r="J450" s="76">
        <v>3145.0431526577636</v>
      </c>
      <c r="K450" s="76">
        <v>3098.7786331500392</v>
      </c>
      <c r="L450" s="76">
        <v>2984.5335951819848</v>
      </c>
      <c r="M450" s="76">
        <v>3399.010236012612</v>
      </c>
      <c r="N450" s="76">
        <v>3515.3983082796499</v>
      </c>
      <c r="O450" s="76">
        <v>3635.0894484760279</v>
      </c>
      <c r="P450" s="76">
        <v>3754.733012302358</v>
      </c>
      <c r="Q450" s="76">
        <v>3878.4568591243474</v>
      </c>
      <c r="R450" s="76">
        <v>4002.0538669294724</v>
      </c>
      <c r="S450" s="76">
        <v>4123.0391903128384</v>
      </c>
      <c r="T450" s="76">
        <v>4240.4419015539361</v>
      </c>
      <c r="U450" s="76">
        <v>4356.1051781703218</v>
      </c>
      <c r="V450" s="76">
        <v>4471.0717037785253</v>
      </c>
    </row>
    <row r="451" spans="1:22" x14ac:dyDescent="0.3">
      <c r="A451" s="3" t="str">
        <f>INDEX(Mapping!$Y:$Y,MATCH($C451,Mapping!$W:$W,0))</f>
        <v>Interface</v>
      </c>
      <c r="B451" s="3" t="str">
        <f>INDEX(Mapping!$V:$V,MATCH(C451,Mapping!$W:$W,0))</f>
        <v>NWV</v>
      </c>
      <c r="C451" t="s">
        <v>145</v>
      </c>
      <c r="D451">
        <v>5</v>
      </c>
      <c r="E451" s="20"/>
      <c r="F451" s="76">
        <v>2136.4034564021995</v>
      </c>
      <c r="G451" s="76">
        <v>2260.5015449070438</v>
      </c>
      <c r="H451" s="76">
        <v>2395.2631055250063</v>
      </c>
      <c r="I451" s="76">
        <v>2959.9850746268658</v>
      </c>
      <c r="J451" s="76">
        <v>3054.402461377324</v>
      </c>
      <c r="K451" s="76">
        <v>3145.0431526577636</v>
      </c>
      <c r="L451" s="76">
        <v>3098.7786331500392</v>
      </c>
      <c r="M451" s="76">
        <v>2984.5335951819848</v>
      </c>
      <c r="N451" s="76">
        <v>3399.010236012612</v>
      </c>
      <c r="O451" s="76">
        <v>3515.3983082796499</v>
      </c>
      <c r="P451" s="76">
        <v>3635.0894484760279</v>
      </c>
      <c r="Q451" s="76">
        <v>3754.733012302358</v>
      </c>
      <c r="R451" s="76">
        <v>3878.4568591243474</v>
      </c>
      <c r="S451" s="76">
        <v>4002.0538669294724</v>
      </c>
      <c r="T451" s="76">
        <v>4123.0391903128384</v>
      </c>
      <c r="U451" s="76">
        <v>4240.4419015539361</v>
      </c>
      <c r="V451" s="76">
        <v>4356.1051781703218</v>
      </c>
    </row>
    <row r="452" spans="1:22" x14ac:dyDescent="0.3">
      <c r="A452" s="3" t="str">
        <f>INDEX(Mapping!$Y:$Y,MATCH($C452,Mapping!$W:$W,0))</f>
        <v>Rural</v>
      </c>
      <c r="B452" s="3" t="str">
        <f>INDEX(Mapping!$V:$V,MATCH(C452,Mapping!$W:$W,0))</f>
        <v>NEV</v>
      </c>
      <c r="C452" t="s">
        <v>128</v>
      </c>
      <c r="D452">
        <v>0</v>
      </c>
      <c r="E452" s="20"/>
      <c r="F452" s="76">
        <v>464.69405852793381</v>
      </c>
      <c r="G452" s="76">
        <v>472.24238841265151</v>
      </c>
      <c r="H452" s="76">
        <v>469.56902157848066</v>
      </c>
      <c r="I452" s="76">
        <v>544.42212472439689</v>
      </c>
      <c r="J452" s="76">
        <v>555.24088162822864</v>
      </c>
      <c r="K452" s="76">
        <v>566.13685849292733</v>
      </c>
      <c r="L452" s="76">
        <v>577.11906438801304</v>
      </c>
      <c r="M452" s="76">
        <v>588.01321939352226</v>
      </c>
      <c r="N452" s="76">
        <v>599.02224286827084</v>
      </c>
      <c r="O452" s="76">
        <v>610.1508672507025</v>
      </c>
      <c r="P452" s="76">
        <v>621.38566171608079</v>
      </c>
      <c r="Q452" s="76">
        <v>633.0526606160646</v>
      </c>
      <c r="R452" s="76">
        <v>644.61351825207919</v>
      </c>
      <c r="S452" s="76">
        <v>656.36390786967979</v>
      </c>
      <c r="T452" s="76">
        <v>668.19460239583725</v>
      </c>
      <c r="U452" s="76">
        <v>680.11537567261519</v>
      </c>
      <c r="V452" s="76">
        <v>692.44192459108763</v>
      </c>
    </row>
    <row r="453" spans="1:22" x14ac:dyDescent="0.3">
      <c r="A453" s="3" t="str">
        <f>INDEX(Mapping!$Y:$Y,MATCH($C453,Mapping!$W:$W,0))</f>
        <v>Rural</v>
      </c>
      <c r="B453" s="3" t="str">
        <f>INDEX(Mapping!$V:$V,MATCH(C453,Mapping!$W:$W,0))</f>
        <v>NEV</v>
      </c>
      <c r="C453" t="s">
        <v>128</v>
      </c>
      <c r="D453">
        <v>1</v>
      </c>
      <c r="E453" s="20"/>
      <c r="F453" s="76">
        <v>477.79633461424771</v>
      </c>
      <c r="G453" s="76">
        <v>485.55749334909842</v>
      </c>
      <c r="H453" s="76">
        <v>482.80874963050547</v>
      </c>
      <c r="I453" s="76">
        <v>469.56902157848066</v>
      </c>
      <c r="J453" s="76">
        <v>544.42212472439689</v>
      </c>
      <c r="K453" s="76">
        <v>555.24088162822864</v>
      </c>
      <c r="L453" s="76">
        <v>566.13685849292733</v>
      </c>
      <c r="M453" s="76">
        <v>577.11906438801304</v>
      </c>
      <c r="N453" s="76">
        <v>588.01321939352226</v>
      </c>
      <c r="O453" s="76">
        <v>599.02224286827084</v>
      </c>
      <c r="P453" s="76">
        <v>610.1508672507025</v>
      </c>
      <c r="Q453" s="76">
        <v>621.38566171608079</v>
      </c>
      <c r="R453" s="76">
        <v>633.0526606160646</v>
      </c>
      <c r="S453" s="76">
        <v>644.61351825207919</v>
      </c>
      <c r="T453" s="76">
        <v>656.36390786967979</v>
      </c>
      <c r="U453" s="76">
        <v>668.19460239583725</v>
      </c>
      <c r="V453" s="76">
        <v>680.11537567261519</v>
      </c>
    </row>
    <row r="454" spans="1:22" x14ac:dyDescent="0.3">
      <c r="A454" s="3" t="str">
        <f>INDEX(Mapping!$Y:$Y,MATCH($C454,Mapping!$W:$W,0))</f>
        <v>Rural</v>
      </c>
      <c r="B454" s="3" t="str">
        <f>INDEX(Mapping!$V:$V,MATCH(C454,Mapping!$W:$W,0))</f>
        <v>NEV</v>
      </c>
      <c r="C454" t="s">
        <v>128</v>
      </c>
      <c r="D454">
        <v>2</v>
      </c>
      <c r="E454" s="20"/>
      <c r="F454" s="76">
        <v>469.93496896245938</v>
      </c>
      <c r="G454" s="76">
        <v>477.56843038723031</v>
      </c>
      <c r="H454" s="76">
        <v>474.86491279929061</v>
      </c>
      <c r="I454" s="76">
        <v>482.80874963050547</v>
      </c>
      <c r="J454" s="76">
        <v>469.56902157848066</v>
      </c>
      <c r="K454" s="76">
        <v>544.42212472439689</v>
      </c>
      <c r="L454" s="76">
        <v>555.24088162822864</v>
      </c>
      <c r="M454" s="76">
        <v>566.13685849292733</v>
      </c>
      <c r="N454" s="76">
        <v>577.11906438801304</v>
      </c>
      <c r="O454" s="76">
        <v>588.01321939352226</v>
      </c>
      <c r="P454" s="76">
        <v>599.02224286827084</v>
      </c>
      <c r="Q454" s="76">
        <v>610.1508672507025</v>
      </c>
      <c r="R454" s="76">
        <v>621.38566171608079</v>
      </c>
      <c r="S454" s="76">
        <v>633.0526606160646</v>
      </c>
      <c r="T454" s="76">
        <v>644.61351825207919</v>
      </c>
      <c r="U454" s="76">
        <v>656.36390786967979</v>
      </c>
      <c r="V454" s="76">
        <v>668.19460239583725</v>
      </c>
    </row>
    <row r="455" spans="1:22" x14ac:dyDescent="0.3">
      <c r="A455" s="3" t="str">
        <f>INDEX(Mapping!$Y:$Y,MATCH($C455,Mapping!$W:$W,0))</f>
        <v>Rural</v>
      </c>
      <c r="B455" s="3" t="str">
        <f>INDEX(Mapping!$V:$V,MATCH(C455,Mapping!$W:$W,0))</f>
        <v>NEV</v>
      </c>
      <c r="C455" t="s">
        <v>128</v>
      </c>
      <c r="D455">
        <v>3</v>
      </c>
      <c r="E455" s="20"/>
      <c r="F455" s="76">
        <v>533.69937924918713</v>
      </c>
      <c r="G455" s="76">
        <v>542.36860774460536</v>
      </c>
      <c r="H455" s="76">
        <v>539.29825598581147</v>
      </c>
      <c r="I455" s="76">
        <v>474.86491279929061</v>
      </c>
      <c r="J455" s="76">
        <v>482.80874963050547</v>
      </c>
      <c r="K455" s="76">
        <v>469.56902157848066</v>
      </c>
      <c r="L455" s="76">
        <v>544.42212472439689</v>
      </c>
      <c r="M455" s="76">
        <v>555.24088162822864</v>
      </c>
      <c r="N455" s="76">
        <v>566.13685849292733</v>
      </c>
      <c r="O455" s="76">
        <v>577.11906438801304</v>
      </c>
      <c r="P455" s="76">
        <v>588.01321939352226</v>
      </c>
      <c r="Q455" s="76">
        <v>599.02224286827084</v>
      </c>
      <c r="R455" s="76">
        <v>610.1508672507025</v>
      </c>
      <c r="S455" s="76">
        <v>621.38566171608079</v>
      </c>
      <c r="T455" s="76">
        <v>633.0526606160646</v>
      </c>
      <c r="U455" s="76">
        <v>644.61351825207919</v>
      </c>
      <c r="V455" s="76">
        <v>656.36390786967979</v>
      </c>
    </row>
    <row r="456" spans="1:22" x14ac:dyDescent="0.3">
      <c r="A456" s="3" t="str">
        <f>INDEX(Mapping!$Y:$Y,MATCH($C456,Mapping!$W:$W,0))</f>
        <v>Rural</v>
      </c>
      <c r="B456" s="3" t="str">
        <f>INDEX(Mapping!$V:$V,MATCH(C456,Mapping!$W:$W,0))</f>
        <v>NEV</v>
      </c>
      <c r="C456" t="s">
        <v>128</v>
      </c>
      <c r="D456">
        <v>4</v>
      </c>
      <c r="E456" s="20"/>
      <c r="F456" s="76">
        <v>521.47058823529414</v>
      </c>
      <c r="G456" s="76">
        <v>529.94117647058829</v>
      </c>
      <c r="H456" s="76">
        <v>526.94117647058829</v>
      </c>
      <c r="I456" s="76">
        <v>539.29825598581147</v>
      </c>
      <c r="J456" s="76">
        <v>474.86491279929061</v>
      </c>
      <c r="K456" s="76">
        <v>482.80874963050547</v>
      </c>
      <c r="L456" s="76">
        <v>469.56902157848066</v>
      </c>
      <c r="M456" s="76">
        <v>544.42212472439689</v>
      </c>
      <c r="N456" s="76">
        <v>555.24088162822864</v>
      </c>
      <c r="O456" s="76">
        <v>566.13685849292733</v>
      </c>
      <c r="P456" s="76">
        <v>577.11906438801304</v>
      </c>
      <c r="Q456" s="76">
        <v>588.01321939352226</v>
      </c>
      <c r="R456" s="76">
        <v>599.02224286827084</v>
      </c>
      <c r="S456" s="76">
        <v>610.1508672507025</v>
      </c>
      <c r="T456" s="76">
        <v>621.38566171608079</v>
      </c>
      <c r="U456" s="76">
        <v>633.0526606160646</v>
      </c>
      <c r="V456" s="76">
        <v>644.61351825207919</v>
      </c>
    </row>
    <row r="457" spans="1:22" x14ac:dyDescent="0.3">
      <c r="A457" s="3" t="str">
        <f>INDEX(Mapping!$Y:$Y,MATCH($C457,Mapping!$W:$W,0))</f>
        <v>Rural</v>
      </c>
      <c r="B457" s="3" t="str">
        <f>INDEX(Mapping!$V:$V,MATCH(C457,Mapping!$W:$W,0))</f>
        <v>NEV</v>
      </c>
      <c r="C457" t="s">
        <v>128</v>
      </c>
      <c r="D457">
        <v>5</v>
      </c>
      <c r="E457" s="20"/>
      <c r="F457" s="76">
        <v>462.49837422406148</v>
      </c>
      <c r="G457" s="76">
        <v>467.77652970736034</v>
      </c>
      <c r="H457" s="76">
        <v>479.32249482707653</v>
      </c>
      <c r="I457" s="76">
        <v>526.94117647058829</v>
      </c>
      <c r="J457" s="76">
        <v>539.29825598581147</v>
      </c>
      <c r="K457" s="76">
        <v>474.86491279929061</v>
      </c>
      <c r="L457" s="76">
        <v>482.80874963050547</v>
      </c>
      <c r="M457" s="76">
        <v>469.56902157848066</v>
      </c>
      <c r="N457" s="76">
        <v>544.42212472439689</v>
      </c>
      <c r="O457" s="76">
        <v>555.24088162822864</v>
      </c>
      <c r="P457" s="76">
        <v>566.13685849292733</v>
      </c>
      <c r="Q457" s="76">
        <v>577.11906438801304</v>
      </c>
      <c r="R457" s="76">
        <v>588.01321939352226</v>
      </c>
      <c r="S457" s="76">
        <v>599.02224286827084</v>
      </c>
      <c r="T457" s="76">
        <v>610.1508672507025</v>
      </c>
      <c r="U457" s="76">
        <v>621.38566171608079</v>
      </c>
      <c r="V457" s="76">
        <v>633.0526606160646</v>
      </c>
    </row>
    <row r="458" spans="1:22" x14ac:dyDescent="0.3">
      <c r="A458" s="3" t="str">
        <f>INDEX(Mapping!$Y:$Y,MATCH($C458,Mapping!$W:$W,0))</f>
        <v>Interface</v>
      </c>
      <c r="B458" s="3" t="str">
        <f>INDEX(Mapping!$V:$V,MATCH(C458,Mapping!$W:$W,0))</f>
        <v>SWV</v>
      </c>
      <c r="C458" t="s">
        <v>188</v>
      </c>
      <c r="D458">
        <v>0</v>
      </c>
      <c r="E458" s="20"/>
      <c r="F458" s="76">
        <v>3310.4610481586401</v>
      </c>
      <c r="G458" s="76">
        <v>3570.4334277620392</v>
      </c>
      <c r="H458" s="76">
        <v>3762.4780453257786</v>
      </c>
      <c r="I458" s="76">
        <v>4168.0001837164364</v>
      </c>
      <c r="J458" s="76">
        <v>4324.9865778405974</v>
      </c>
      <c r="K458" s="76">
        <v>4494.9751553411561</v>
      </c>
      <c r="L458" s="76">
        <v>4667.698926538309</v>
      </c>
      <c r="M458" s="76">
        <v>4837.7186765492961</v>
      </c>
      <c r="N458" s="76">
        <v>5005.0239013347937</v>
      </c>
      <c r="O458" s="76">
        <v>5166.9694012329019</v>
      </c>
      <c r="P458" s="76">
        <v>5324.6403496916737</v>
      </c>
      <c r="Q458" s="76">
        <v>5482.967942114481</v>
      </c>
      <c r="R458" s="76">
        <v>5646.0349832331785</v>
      </c>
      <c r="S458" s="76">
        <v>5811.2478984780173</v>
      </c>
      <c r="T458" s="76">
        <v>5976.7958325001555</v>
      </c>
      <c r="U458" s="76">
        <v>6142.492330298106</v>
      </c>
      <c r="V458" s="76">
        <v>6309.4741856771498</v>
      </c>
    </row>
    <row r="459" spans="1:22" x14ac:dyDescent="0.3">
      <c r="A459" s="3" t="str">
        <f>INDEX(Mapping!$Y:$Y,MATCH($C459,Mapping!$W:$W,0))</f>
        <v>Interface</v>
      </c>
      <c r="B459" s="3" t="str">
        <f>INDEX(Mapping!$V:$V,MATCH(C459,Mapping!$W:$W,0))</f>
        <v>SWV</v>
      </c>
      <c r="C459" t="s">
        <v>188</v>
      </c>
      <c r="D459">
        <v>1</v>
      </c>
      <c r="E459" s="20"/>
      <c r="F459" s="76">
        <v>3667.4715533522194</v>
      </c>
      <c r="G459" s="76">
        <v>3955.4801699716718</v>
      </c>
      <c r="H459" s="76">
        <v>4168.2354815864028</v>
      </c>
      <c r="I459" s="76">
        <v>3762.4780453257786</v>
      </c>
      <c r="J459" s="76">
        <v>4168.0001837164364</v>
      </c>
      <c r="K459" s="76">
        <v>4324.9865778405974</v>
      </c>
      <c r="L459" s="76">
        <v>4494.9751553411561</v>
      </c>
      <c r="M459" s="76">
        <v>4667.698926538309</v>
      </c>
      <c r="N459" s="76">
        <v>4837.7186765492961</v>
      </c>
      <c r="O459" s="76">
        <v>5005.0239013347937</v>
      </c>
      <c r="P459" s="76">
        <v>5166.9694012329019</v>
      </c>
      <c r="Q459" s="76">
        <v>5324.6403496916737</v>
      </c>
      <c r="R459" s="76">
        <v>5482.967942114481</v>
      </c>
      <c r="S459" s="76">
        <v>5646.0349832331785</v>
      </c>
      <c r="T459" s="76">
        <v>5811.2478984780173</v>
      </c>
      <c r="U459" s="76">
        <v>5976.7958325001555</v>
      </c>
      <c r="V459" s="76">
        <v>6142.492330298106</v>
      </c>
    </row>
    <row r="460" spans="1:22" x14ac:dyDescent="0.3">
      <c r="A460" s="3" t="str">
        <f>INDEX(Mapping!$Y:$Y,MATCH($C460,Mapping!$W:$W,0))</f>
        <v>Interface</v>
      </c>
      <c r="B460" s="3" t="str">
        <f>INDEX(Mapping!$V:$V,MATCH(C460,Mapping!$W:$W,0))</f>
        <v>SWV</v>
      </c>
      <c r="C460" t="s">
        <v>188</v>
      </c>
      <c r="D460">
        <v>2</v>
      </c>
      <c r="E460" s="20"/>
      <c r="F460" s="76">
        <v>3588.4132829713567</v>
      </c>
      <c r="G460" s="76">
        <v>3870.2134088762987</v>
      </c>
      <c r="H460" s="76">
        <v>4078.3824362606233</v>
      </c>
      <c r="I460" s="76">
        <v>4168.2354815864028</v>
      </c>
      <c r="J460" s="76">
        <v>3762.4780453257786</v>
      </c>
      <c r="K460" s="76">
        <v>4168.0001837164364</v>
      </c>
      <c r="L460" s="76">
        <v>4324.9865778405974</v>
      </c>
      <c r="M460" s="76">
        <v>4494.9751553411561</v>
      </c>
      <c r="N460" s="76">
        <v>4667.698926538309</v>
      </c>
      <c r="O460" s="76">
        <v>4837.7186765492961</v>
      </c>
      <c r="P460" s="76">
        <v>5005.0239013347937</v>
      </c>
      <c r="Q460" s="76">
        <v>5166.9694012329019</v>
      </c>
      <c r="R460" s="76">
        <v>5324.6403496916737</v>
      </c>
      <c r="S460" s="76">
        <v>5482.967942114481</v>
      </c>
      <c r="T460" s="76">
        <v>5646.0349832331785</v>
      </c>
      <c r="U460" s="76">
        <v>5811.2478984780173</v>
      </c>
      <c r="V460" s="76">
        <v>5976.7958325001555</v>
      </c>
    </row>
    <row r="461" spans="1:22" x14ac:dyDescent="0.3">
      <c r="A461" s="3" t="str">
        <f>INDEX(Mapping!$Y:$Y,MATCH($C461,Mapping!$W:$W,0))</f>
        <v>Interface</v>
      </c>
      <c r="B461" s="3" t="str">
        <f>INDEX(Mapping!$V:$V,MATCH(C461,Mapping!$W:$W,0))</f>
        <v>SWV</v>
      </c>
      <c r="C461" t="s">
        <v>188</v>
      </c>
      <c r="D461">
        <v>3</v>
      </c>
      <c r="E461" s="20"/>
      <c r="F461" s="76">
        <v>3735.7113235757001</v>
      </c>
      <c r="G461" s="76">
        <v>4029.0788479697826</v>
      </c>
      <c r="H461" s="76">
        <v>4245.7928470254956</v>
      </c>
      <c r="I461" s="76">
        <v>4078.3824362606233</v>
      </c>
      <c r="J461" s="76">
        <v>4168.2354815864028</v>
      </c>
      <c r="K461" s="76">
        <v>3762.4780453257786</v>
      </c>
      <c r="L461" s="76">
        <v>4168.0001837164364</v>
      </c>
      <c r="M461" s="76">
        <v>4324.9865778405974</v>
      </c>
      <c r="N461" s="76">
        <v>4494.9751553411561</v>
      </c>
      <c r="O461" s="76">
        <v>4667.698926538309</v>
      </c>
      <c r="P461" s="76">
        <v>4837.7186765492961</v>
      </c>
      <c r="Q461" s="76">
        <v>5005.0239013347937</v>
      </c>
      <c r="R461" s="76">
        <v>5166.9694012329019</v>
      </c>
      <c r="S461" s="76">
        <v>5324.6403496916737</v>
      </c>
      <c r="T461" s="76">
        <v>5482.967942114481</v>
      </c>
      <c r="U461" s="76">
        <v>5646.0349832331785</v>
      </c>
      <c r="V461" s="76">
        <v>5811.2478984780173</v>
      </c>
    </row>
    <row r="462" spans="1:22" x14ac:dyDescent="0.3">
      <c r="A462" s="3" t="str">
        <f>INDEX(Mapping!$Y:$Y,MATCH($C462,Mapping!$W:$W,0))</f>
        <v>Interface</v>
      </c>
      <c r="B462" s="3" t="str">
        <f>INDEX(Mapping!$V:$V,MATCH(C462,Mapping!$W:$W,0))</f>
        <v>SWV</v>
      </c>
      <c r="C462" t="s">
        <v>188</v>
      </c>
      <c r="D462">
        <v>4</v>
      </c>
      <c r="E462" s="20"/>
      <c r="F462" s="76">
        <v>3487.7180122757318</v>
      </c>
      <c r="G462" s="76">
        <v>3761.6104815864023</v>
      </c>
      <c r="H462" s="76">
        <v>3963.9380311614732</v>
      </c>
      <c r="I462" s="76">
        <v>4245.7928470254956</v>
      </c>
      <c r="J462" s="76">
        <v>4078.3824362606233</v>
      </c>
      <c r="K462" s="76">
        <v>4168.2354815864028</v>
      </c>
      <c r="L462" s="76">
        <v>3762.4780453257786</v>
      </c>
      <c r="M462" s="76">
        <v>4168.0001837164364</v>
      </c>
      <c r="N462" s="76">
        <v>4324.9865778405974</v>
      </c>
      <c r="O462" s="76">
        <v>4494.9751553411561</v>
      </c>
      <c r="P462" s="76">
        <v>4667.698926538309</v>
      </c>
      <c r="Q462" s="76">
        <v>4837.7186765492961</v>
      </c>
      <c r="R462" s="76">
        <v>5005.0239013347937</v>
      </c>
      <c r="S462" s="76">
        <v>5166.9694012329019</v>
      </c>
      <c r="T462" s="76">
        <v>5324.6403496916737</v>
      </c>
      <c r="U462" s="76">
        <v>5482.967942114481</v>
      </c>
      <c r="V462" s="76">
        <v>5646.0349832331785</v>
      </c>
    </row>
    <row r="463" spans="1:22" x14ac:dyDescent="0.3">
      <c r="A463" s="3" t="str">
        <f>INDEX(Mapping!$Y:$Y,MATCH($C463,Mapping!$W:$W,0))</f>
        <v>Interface</v>
      </c>
      <c r="B463" s="3" t="str">
        <f>INDEX(Mapping!$V:$V,MATCH(C463,Mapping!$W:$W,0))</f>
        <v>SWV</v>
      </c>
      <c r="C463" t="s">
        <v>188</v>
      </c>
      <c r="D463">
        <v>5</v>
      </c>
      <c r="E463" s="20"/>
      <c r="F463" s="76">
        <v>2797.5509915014163</v>
      </c>
      <c r="G463" s="76">
        <v>3043.7113235757001</v>
      </c>
      <c r="H463" s="76">
        <v>3297.1817752596789</v>
      </c>
      <c r="I463" s="76">
        <v>3963.9380311614732</v>
      </c>
      <c r="J463" s="76">
        <v>4245.7928470254956</v>
      </c>
      <c r="K463" s="76">
        <v>4078.3824362606233</v>
      </c>
      <c r="L463" s="76">
        <v>4168.2354815864028</v>
      </c>
      <c r="M463" s="76">
        <v>3762.4780453257786</v>
      </c>
      <c r="N463" s="76">
        <v>4168.0001837164364</v>
      </c>
      <c r="O463" s="76">
        <v>4324.9865778405974</v>
      </c>
      <c r="P463" s="76">
        <v>4494.9751553411561</v>
      </c>
      <c r="Q463" s="76">
        <v>4667.698926538309</v>
      </c>
      <c r="R463" s="76">
        <v>4837.7186765492961</v>
      </c>
      <c r="S463" s="76">
        <v>5005.0239013347937</v>
      </c>
      <c r="T463" s="76">
        <v>5166.9694012329019</v>
      </c>
      <c r="U463" s="76">
        <v>5324.6403496916737</v>
      </c>
      <c r="V463" s="76">
        <v>5482.967942114481</v>
      </c>
    </row>
    <row r="464" spans="1:22" x14ac:dyDescent="0.3">
      <c r="A464" s="3" t="str">
        <f>INDEX(Mapping!$Y:$Y,MATCH($C464,Mapping!$W:$W,0))</f>
        <v>Metro</v>
      </c>
      <c r="B464" s="3" t="str">
        <f>INDEX(Mapping!$V:$V,MATCH(C464,Mapping!$W:$W,0))</f>
        <v>NWV</v>
      </c>
      <c r="C464" t="s">
        <v>146</v>
      </c>
      <c r="D464">
        <v>0</v>
      </c>
      <c r="E464" s="20"/>
      <c r="F464" s="76">
        <v>883.13894826849082</v>
      </c>
      <c r="G464" s="76">
        <v>890.31893971782813</v>
      </c>
      <c r="H464" s="76">
        <v>898.89504061564764</v>
      </c>
      <c r="I464" s="76">
        <v>1033.7329170550213</v>
      </c>
      <c r="J464" s="76">
        <v>1058.8313683865613</v>
      </c>
      <c r="K464" s="76">
        <v>1084.4536023060759</v>
      </c>
      <c r="L464" s="76">
        <v>1106.8561551764155</v>
      </c>
      <c r="M464" s="76">
        <v>1129.8856713869025</v>
      </c>
      <c r="N464" s="76">
        <v>1150.9904833730741</v>
      </c>
      <c r="O464" s="76">
        <v>1172.7197987723691</v>
      </c>
      <c r="P464" s="76">
        <v>1192.8817255421329</v>
      </c>
      <c r="Q464" s="76">
        <v>1212.1249202820759</v>
      </c>
      <c r="R464" s="76">
        <v>1230.0104732849654</v>
      </c>
      <c r="S464" s="76">
        <v>1247.190079542218</v>
      </c>
      <c r="T464" s="76">
        <v>1264.5795150714105</v>
      </c>
      <c r="U464" s="76">
        <v>1282.4573342440312</v>
      </c>
      <c r="V464" s="76">
        <v>1300.7912351045672</v>
      </c>
    </row>
    <row r="465" spans="1:22" x14ac:dyDescent="0.3">
      <c r="A465" s="3" t="str">
        <f>INDEX(Mapping!$Y:$Y,MATCH($C465,Mapping!$W:$W,0))</f>
        <v>Metro</v>
      </c>
      <c r="B465" s="3" t="str">
        <f>INDEX(Mapping!$V:$V,MATCH(C465,Mapping!$W:$W,0))</f>
        <v>NWV</v>
      </c>
      <c r="C465" t="s">
        <v>146</v>
      </c>
      <c r="D465">
        <v>1</v>
      </c>
      <c r="E465" s="20"/>
      <c r="F465" s="76">
        <v>829.18512184694316</v>
      </c>
      <c r="G465" s="76">
        <v>835.9264643009833</v>
      </c>
      <c r="H465" s="76">
        <v>843.9786233433091</v>
      </c>
      <c r="I465" s="76">
        <v>898.89504061564764</v>
      </c>
      <c r="J465" s="76">
        <v>1033.7329170550213</v>
      </c>
      <c r="K465" s="76">
        <v>1058.8313683865613</v>
      </c>
      <c r="L465" s="76">
        <v>1084.4536023060759</v>
      </c>
      <c r="M465" s="76">
        <v>1106.8561551764155</v>
      </c>
      <c r="N465" s="76">
        <v>1129.8856713869025</v>
      </c>
      <c r="O465" s="76">
        <v>1150.9904833730741</v>
      </c>
      <c r="P465" s="76">
        <v>1172.7197987723691</v>
      </c>
      <c r="Q465" s="76">
        <v>1192.8817255421329</v>
      </c>
      <c r="R465" s="76">
        <v>1212.1249202820759</v>
      </c>
      <c r="S465" s="76">
        <v>1230.0104732849654</v>
      </c>
      <c r="T465" s="76">
        <v>1247.190079542218</v>
      </c>
      <c r="U465" s="76">
        <v>1264.5795150714105</v>
      </c>
      <c r="V465" s="76">
        <v>1282.4573342440312</v>
      </c>
    </row>
    <row r="466" spans="1:22" x14ac:dyDescent="0.3">
      <c r="A466" s="3" t="str">
        <f>INDEX(Mapping!$Y:$Y,MATCH($C466,Mapping!$W:$W,0))</f>
        <v>Metro</v>
      </c>
      <c r="B466" s="3" t="str">
        <f>INDEX(Mapping!$V:$V,MATCH(C466,Mapping!$W:$W,0))</f>
        <v>NWV</v>
      </c>
      <c r="C466" t="s">
        <v>146</v>
      </c>
      <c r="D466">
        <v>2</v>
      </c>
      <c r="E466" s="20"/>
      <c r="F466" s="76">
        <v>738.3155194527576</v>
      </c>
      <c r="G466" s="76">
        <v>744.31808465156053</v>
      </c>
      <c r="H466" s="76">
        <v>751.48781530568624</v>
      </c>
      <c r="I466" s="76">
        <v>843.9786233433091</v>
      </c>
      <c r="J466" s="76">
        <v>898.89504061564764</v>
      </c>
      <c r="K466" s="76">
        <v>1033.7329170550213</v>
      </c>
      <c r="L466" s="76">
        <v>1058.8313683865613</v>
      </c>
      <c r="M466" s="76">
        <v>1084.4536023060759</v>
      </c>
      <c r="N466" s="76">
        <v>1106.8561551764155</v>
      </c>
      <c r="O466" s="76">
        <v>1129.8856713869025</v>
      </c>
      <c r="P466" s="76">
        <v>1150.9904833730741</v>
      </c>
      <c r="Q466" s="76">
        <v>1172.7197987723691</v>
      </c>
      <c r="R466" s="76">
        <v>1192.8817255421329</v>
      </c>
      <c r="S466" s="76">
        <v>1212.1249202820759</v>
      </c>
      <c r="T466" s="76">
        <v>1230.0104732849654</v>
      </c>
      <c r="U466" s="76">
        <v>1247.190079542218</v>
      </c>
      <c r="V466" s="76">
        <v>1264.5795150714105</v>
      </c>
    </row>
    <row r="467" spans="1:22" x14ac:dyDescent="0.3">
      <c r="A467" s="3" t="str">
        <f>INDEX(Mapping!$Y:$Y,MATCH($C467,Mapping!$W:$W,0))</f>
        <v>Metro</v>
      </c>
      <c r="B467" s="3" t="str">
        <f>INDEX(Mapping!$V:$V,MATCH(C467,Mapping!$W:$W,0))</f>
        <v>NWV</v>
      </c>
      <c r="C467" t="s">
        <v>146</v>
      </c>
      <c r="D467">
        <v>3</v>
      </c>
      <c r="E467" s="20"/>
      <c r="F467" s="76">
        <v>667.32364258230007</v>
      </c>
      <c r="G467" s="76">
        <v>672.7490380504488</v>
      </c>
      <c r="H467" s="76">
        <v>679.22937152629322</v>
      </c>
      <c r="I467" s="76">
        <v>751.48781530568624</v>
      </c>
      <c r="J467" s="76">
        <v>843.9786233433091</v>
      </c>
      <c r="K467" s="76">
        <v>898.89504061564764</v>
      </c>
      <c r="L467" s="76">
        <v>1033.7329170550213</v>
      </c>
      <c r="M467" s="76">
        <v>1058.8313683865613</v>
      </c>
      <c r="N467" s="76">
        <v>1084.4536023060759</v>
      </c>
      <c r="O467" s="76">
        <v>1106.8561551764155</v>
      </c>
      <c r="P467" s="76">
        <v>1129.8856713869025</v>
      </c>
      <c r="Q467" s="76">
        <v>1150.9904833730741</v>
      </c>
      <c r="R467" s="76">
        <v>1172.7197987723691</v>
      </c>
      <c r="S467" s="76">
        <v>1192.8817255421329</v>
      </c>
      <c r="T467" s="76">
        <v>1212.1249202820759</v>
      </c>
      <c r="U467" s="76">
        <v>1230.0104732849654</v>
      </c>
      <c r="V467" s="76">
        <v>1247.190079542218</v>
      </c>
    </row>
    <row r="468" spans="1:22" x14ac:dyDescent="0.3">
      <c r="A468" s="3" t="str">
        <f>INDEX(Mapping!$Y:$Y,MATCH($C468,Mapping!$W:$W,0))</f>
        <v>Metro</v>
      </c>
      <c r="B468" s="3" t="str">
        <f>INDEX(Mapping!$V:$V,MATCH(C468,Mapping!$W:$W,0))</f>
        <v>NWV</v>
      </c>
      <c r="C468" t="s">
        <v>146</v>
      </c>
      <c r="D468">
        <v>4</v>
      </c>
      <c r="E468" s="20"/>
      <c r="F468" s="76">
        <v>673.94955109020941</v>
      </c>
      <c r="G468" s="76">
        <v>679.42881573321927</v>
      </c>
      <c r="H468" s="76">
        <v>685.97349294570324</v>
      </c>
      <c r="I468" s="76">
        <v>679.22937152629322</v>
      </c>
      <c r="J468" s="76">
        <v>751.48781530568624</v>
      </c>
      <c r="K468" s="76">
        <v>843.9786233433091</v>
      </c>
      <c r="L468" s="76">
        <v>898.89504061564764</v>
      </c>
      <c r="M468" s="76">
        <v>1033.7329170550213</v>
      </c>
      <c r="N468" s="76">
        <v>1058.8313683865613</v>
      </c>
      <c r="O468" s="76">
        <v>1084.4536023060759</v>
      </c>
      <c r="P468" s="76">
        <v>1106.8561551764155</v>
      </c>
      <c r="Q468" s="76">
        <v>1129.8856713869025</v>
      </c>
      <c r="R468" s="76">
        <v>1150.9904833730741</v>
      </c>
      <c r="S468" s="76">
        <v>1172.7197987723691</v>
      </c>
      <c r="T468" s="76">
        <v>1192.8817255421329</v>
      </c>
      <c r="U468" s="76">
        <v>1212.1249202820759</v>
      </c>
      <c r="V468" s="76">
        <v>1230.0104732849654</v>
      </c>
    </row>
    <row r="469" spans="1:22" x14ac:dyDescent="0.3">
      <c r="A469" s="3" t="str">
        <f>INDEX(Mapping!$Y:$Y,MATCH($C469,Mapping!$W:$W,0))</f>
        <v>Metro</v>
      </c>
      <c r="B469" s="3" t="str">
        <f>INDEX(Mapping!$V:$V,MATCH(C469,Mapping!$W:$W,0))</f>
        <v>NWV</v>
      </c>
      <c r="C469" t="s">
        <v>146</v>
      </c>
      <c r="D469">
        <v>5</v>
      </c>
      <c r="E469" s="20"/>
      <c r="F469" s="76">
        <v>477.92731936725102</v>
      </c>
      <c r="G469" s="76">
        <v>484.53527148353999</v>
      </c>
      <c r="H469" s="76">
        <v>495.16545532278758</v>
      </c>
      <c r="I469" s="76">
        <v>685.97349294570324</v>
      </c>
      <c r="J469" s="76">
        <v>679.22937152629322</v>
      </c>
      <c r="K469" s="76">
        <v>751.48781530568624</v>
      </c>
      <c r="L469" s="76">
        <v>843.9786233433091</v>
      </c>
      <c r="M469" s="76">
        <v>898.89504061564764</v>
      </c>
      <c r="N469" s="76">
        <v>1033.7329170550213</v>
      </c>
      <c r="O469" s="76">
        <v>1058.8313683865613</v>
      </c>
      <c r="P469" s="76">
        <v>1084.4536023060759</v>
      </c>
      <c r="Q469" s="76">
        <v>1106.8561551764155</v>
      </c>
      <c r="R469" s="76">
        <v>1129.8856713869025</v>
      </c>
      <c r="S469" s="76">
        <v>1150.9904833730741</v>
      </c>
      <c r="T469" s="76">
        <v>1172.7197987723691</v>
      </c>
      <c r="U469" s="76">
        <v>1192.8817255421329</v>
      </c>
      <c r="V469" s="76">
        <v>1212.1249202820759</v>
      </c>
    </row>
    <row r="470" spans="1:22" x14ac:dyDescent="0.3">
      <c r="A470" s="3" t="str">
        <f>INDEX(Mapping!$Y:$Y,MATCH($C470,Mapping!$W:$W,0))</f>
        <v>Interface</v>
      </c>
      <c r="B470" s="3" t="str">
        <f>INDEX(Mapping!$V:$V,MATCH(C470,Mapping!$W:$W,0))</f>
        <v>NEV</v>
      </c>
      <c r="C470" t="s">
        <v>129</v>
      </c>
      <c r="D470">
        <v>0</v>
      </c>
      <c r="E470" s="20"/>
      <c r="F470" s="76">
        <v>1472.965680043581</v>
      </c>
      <c r="G470" s="76">
        <v>1495.2145451243871</v>
      </c>
      <c r="H470" s="76">
        <v>1495.365897948066</v>
      </c>
      <c r="I470" s="76">
        <v>1657.6289187313178</v>
      </c>
      <c r="J470" s="76">
        <v>1667.4653846941887</v>
      </c>
      <c r="K470" s="76">
        <v>1679.1260911125469</v>
      </c>
      <c r="L470" s="76">
        <v>1691.3982139163336</v>
      </c>
      <c r="M470" s="76">
        <v>1705.9250428047019</v>
      </c>
      <c r="N470" s="76">
        <v>1721.144081171514</v>
      </c>
      <c r="O470" s="76">
        <v>1736.5615582186301</v>
      </c>
      <c r="P470" s="76">
        <v>1751.3435203405397</v>
      </c>
      <c r="Q470" s="76">
        <v>1766.1503508005644</v>
      </c>
      <c r="R470" s="76">
        <v>1781.1714939859037</v>
      </c>
      <c r="S470" s="76">
        <v>1796.5996431838389</v>
      </c>
      <c r="T470" s="76">
        <v>1812.3189852545052</v>
      </c>
      <c r="U470" s="76">
        <v>1827.8804349402319</v>
      </c>
      <c r="V470" s="76">
        <v>1842.6896237255473</v>
      </c>
    </row>
    <row r="471" spans="1:22" x14ac:dyDescent="0.3">
      <c r="A471" s="3" t="str">
        <f>INDEX(Mapping!$Y:$Y,MATCH($C471,Mapping!$W:$W,0))</f>
        <v>Interface</v>
      </c>
      <c r="B471" s="3" t="str">
        <f>INDEX(Mapping!$V:$V,MATCH(C471,Mapping!$W:$W,0))</f>
        <v>NEV</v>
      </c>
      <c r="C471" t="s">
        <v>129</v>
      </c>
      <c r="D471">
        <v>1</v>
      </c>
      <c r="E471" s="20"/>
      <c r="F471" s="76">
        <v>1641.7337933539131</v>
      </c>
      <c r="G471" s="76">
        <v>1666.5318685309605</v>
      </c>
      <c r="H471" s="76">
        <v>1666.7005629199202</v>
      </c>
      <c r="I471" s="76">
        <v>1495.365897948066</v>
      </c>
      <c r="J471" s="76">
        <v>1657.6289187313178</v>
      </c>
      <c r="K471" s="76">
        <v>1667.4653846941887</v>
      </c>
      <c r="L471" s="76">
        <v>1679.1260911125469</v>
      </c>
      <c r="M471" s="76">
        <v>1691.3982139163336</v>
      </c>
      <c r="N471" s="76">
        <v>1705.9250428047019</v>
      </c>
      <c r="O471" s="76">
        <v>1721.144081171514</v>
      </c>
      <c r="P471" s="76">
        <v>1736.5615582186301</v>
      </c>
      <c r="Q471" s="76">
        <v>1751.3435203405397</v>
      </c>
      <c r="R471" s="76">
        <v>1766.1503508005644</v>
      </c>
      <c r="S471" s="76">
        <v>1781.1714939859037</v>
      </c>
      <c r="T471" s="76">
        <v>1796.5996431838389</v>
      </c>
      <c r="U471" s="76">
        <v>1812.3189852545052</v>
      </c>
      <c r="V471" s="76">
        <v>1827.8804349402319</v>
      </c>
    </row>
    <row r="472" spans="1:22" x14ac:dyDescent="0.3">
      <c r="A472" s="3" t="str">
        <f>INDEX(Mapping!$Y:$Y,MATCH($C472,Mapping!$W:$W,0))</f>
        <v>Interface</v>
      </c>
      <c r="B472" s="3" t="str">
        <f>INDEX(Mapping!$V:$V,MATCH(C472,Mapping!$W:$W,0))</f>
        <v>NEV</v>
      </c>
      <c r="C472" t="s">
        <v>129</v>
      </c>
      <c r="D472">
        <v>2</v>
      </c>
      <c r="E472" s="20"/>
      <c r="F472" s="76">
        <v>1600.2044670419464</v>
      </c>
      <c r="G472" s="76">
        <v>1624.3752496822226</v>
      </c>
      <c r="H472" s="76">
        <v>1624.5396767750135</v>
      </c>
      <c r="I472" s="76">
        <v>1666.7005629199202</v>
      </c>
      <c r="J472" s="76">
        <v>1495.365897948066</v>
      </c>
      <c r="K472" s="76">
        <v>1657.6289187313178</v>
      </c>
      <c r="L472" s="76">
        <v>1667.4653846941887</v>
      </c>
      <c r="M472" s="76">
        <v>1679.1260911125469</v>
      </c>
      <c r="N472" s="76">
        <v>1691.3982139163336</v>
      </c>
      <c r="O472" s="76">
        <v>1705.9250428047019</v>
      </c>
      <c r="P472" s="76">
        <v>1721.144081171514</v>
      </c>
      <c r="Q472" s="76">
        <v>1736.5615582186301</v>
      </c>
      <c r="R472" s="76">
        <v>1751.3435203405397</v>
      </c>
      <c r="S472" s="76">
        <v>1766.1503508005644</v>
      </c>
      <c r="T472" s="76">
        <v>1781.1714939859037</v>
      </c>
      <c r="U472" s="76">
        <v>1796.5996431838389</v>
      </c>
      <c r="V472" s="76">
        <v>1812.3189852545052</v>
      </c>
    </row>
    <row r="473" spans="1:22" x14ac:dyDescent="0.3">
      <c r="A473" s="3" t="str">
        <f>INDEX(Mapping!$Y:$Y,MATCH($C473,Mapping!$W:$W,0))</f>
        <v>Interface</v>
      </c>
      <c r="B473" s="3" t="str">
        <f>INDEX(Mapping!$V:$V,MATCH(C473,Mapping!$W:$W,0))</f>
        <v>NEV</v>
      </c>
      <c r="C473" t="s">
        <v>129</v>
      </c>
      <c r="D473">
        <v>3</v>
      </c>
      <c r="E473" s="20"/>
      <c r="F473" s="76">
        <v>1673.5434901035046</v>
      </c>
      <c r="G473" s="76">
        <v>1698.8220446704195</v>
      </c>
      <c r="H473" s="76">
        <v>1698.9940076266571</v>
      </c>
      <c r="I473" s="76">
        <v>1624.5396767750135</v>
      </c>
      <c r="J473" s="76">
        <v>1666.7005629199202</v>
      </c>
      <c r="K473" s="76">
        <v>1495.365897948066</v>
      </c>
      <c r="L473" s="76">
        <v>1657.6289187313178</v>
      </c>
      <c r="M473" s="76">
        <v>1667.4653846941887</v>
      </c>
      <c r="N473" s="76">
        <v>1679.1260911125469</v>
      </c>
      <c r="O473" s="76">
        <v>1691.3982139163336</v>
      </c>
      <c r="P473" s="76">
        <v>1705.9250428047019</v>
      </c>
      <c r="Q473" s="76">
        <v>1721.144081171514</v>
      </c>
      <c r="R473" s="76">
        <v>1736.5615582186301</v>
      </c>
      <c r="S473" s="76">
        <v>1751.3435203405397</v>
      </c>
      <c r="T473" s="76">
        <v>1766.1503508005644</v>
      </c>
      <c r="U473" s="76">
        <v>1781.1714939859037</v>
      </c>
      <c r="V473" s="76">
        <v>1796.5996431838389</v>
      </c>
    </row>
    <row r="474" spans="1:22" x14ac:dyDescent="0.3">
      <c r="A474" s="3" t="str">
        <f>INDEX(Mapping!$Y:$Y,MATCH($C474,Mapping!$W:$W,0))</f>
        <v>Interface</v>
      </c>
      <c r="B474" s="3" t="str">
        <f>INDEX(Mapping!$V:$V,MATCH(C474,Mapping!$W:$W,0))</f>
        <v>NEV</v>
      </c>
      <c r="C474" t="s">
        <v>129</v>
      </c>
      <c r="D474">
        <v>4</v>
      </c>
      <c r="E474" s="20"/>
      <c r="F474" s="76">
        <v>1687.681133103323</v>
      </c>
      <c r="G474" s="76">
        <v>1713.1732340657345</v>
      </c>
      <c r="H474" s="76">
        <v>1713.34664971854</v>
      </c>
      <c r="I474" s="76">
        <v>1698.9940076266571</v>
      </c>
      <c r="J474" s="76">
        <v>1624.5396767750135</v>
      </c>
      <c r="K474" s="76">
        <v>1666.7005629199202</v>
      </c>
      <c r="L474" s="76">
        <v>1495.365897948066</v>
      </c>
      <c r="M474" s="76">
        <v>1657.6289187313178</v>
      </c>
      <c r="N474" s="76">
        <v>1667.4653846941887</v>
      </c>
      <c r="O474" s="76">
        <v>1679.1260911125469</v>
      </c>
      <c r="P474" s="76">
        <v>1691.3982139163336</v>
      </c>
      <c r="Q474" s="76">
        <v>1705.9250428047019</v>
      </c>
      <c r="R474" s="76">
        <v>1721.144081171514</v>
      </c>
      <c r="S474" s="76">
        <v>1736.5615582186301</v>
      </c>
      <c r="T474" s="76">
        <v>1751.3435203405397</v>
      </c>
      <c r="U474" s="76">
        <v>1766.1503508005644</v>
      </c>
      <c r="V474" s="76">
        <v>1781.1714939859037</v>
      </c>
    </row>
    <row r="475" spans="1:22" x14ac:dyDescent="0.3">
      <c r="A475" s="3" t="str">
        <f>INDEX(Mapping!$Y:$Y,MATCH($C475,Mapping!$W:$W,0))</f>
        <v>Interface</v>
      </c>
      <c r="B475" s="3" t="str">
        <f>INDEX(Mapping!$V:$V,MATCH(C475,Mapping!$W:$W,0))</f>
        <v>NEV</v>
      </c>
      <c r="C475" t="s">
        <v>129</v>
      </c>
      <c r="D475">
        <v>5</v>
      </c>
      <c r="E475" s="20"/>
      <c r="F475" s="76">
        <v>1721.037770110768</v>
      </c>
      <c r="G475" s="76">
        <v>1752.8552751044124</v>
      </c>
      <c r="H475" s="76">
        <v>1762.2133648084255</v>
      </c>
      <c r="I475" s="76">
        <v>1713.34664971854</v>
      </c>
      <c r="J475" s="76">
        <v>1698.9940076266571</v>
      </c>
      <c r="K475" s="76">
        <v>1624.5396767750135</v>
      </c>
      <c r="L475" s="76">
        <v>1666.7005629199202</v>
      </c>
      <c r="M475" s="76">
        <v>1495.365897948066</v>
      </c>
      <c r="N475" s="76">
        <v>1657.6289187313178</v>
      </c>
      <c r="O475" s="76">
        <v>1667.4653846941887</v>
      </c>
      <c r="P475" s="76">
        <v>1679.1260911125469</v>
      </c>
      <c r="Q475" s="76">
        <v>1691.3982139163336</v>
      </c>
      <c r="R475" s="76">
        <v>1705.9250428047019</v>
      </c>
      <c r="S475" s="76">
        <v>1721.144081171514</v>
      </c>
      <c r="T475" s="76">
        <v>1736.5615582186301</v>
      </c>
      <c r="U475" s="76">
        <v>1751.3435203405397</v>
      </c>
      <c r="V475" s="76">
        <v>1766.1503508005644</v>
      </c>
    </row>
    <row r="476" spans="1:22" x14ac:dyDescent="0.3">
      <c r="A476" s="3" t="str">
        <f>INDEX(Mapping!$Y:$Y,MATCH($C476,Mapping!$W:$W,0))</f>
        <v>Rural</v>
      </c>
      <c r="B476" s="3" t="str">
        <f>INDEX(Mapping!$V:$V,MATCH(C476,Mapping!$W:$W,0))</f>
        <v>SWV</v>
      </c>
      <c r="C476" t="s">
        <v>189</v>
      </c>
      <c r="D476">
        <v>0</v>
      </c>
      <c r="E476" s="20"/>
      <c r="F476" s="76">
        <v>58.566951566951573</v>
      </c>
      <c r="G476" s="76">
        <v>55.264957264957268</v>
      </c>
      <c r="H476" s="76">
        <v>54.56980056980057</v>
      </c>
      <c r="I476" s="76">
        <v>57.88225924092368</v>
      </c>
      <c r="J476" s="76">
        <v>57.181171142663906</v>
      </c>
      <c r="K476" s="76">
        <v>56.578887962571812</v>
      </c>
      <c r="L476" s="76">
        <v>55.993190456840743</v>
      </c>
      <c r="M476" s="76">
        <v>55.401926099164996</v>
      </c>
      <c r="N476" s="76">
        <v>54.817109717078353</v>
      </c>
      <c r="O476" s="76">
        <v>54.24031403640582</v>
      </c>
      <c r="P476" s="76">
        <v>53.670011365026731</v>
      </c>
      <c r="Q476" s="76">
        <v>53.102001338127202</v>
      </c>
      <c r="R476" s="76">
        <v>52.540045423475561</v>
      </c>
      <c r="S476" s="76">
        <v>51.983367689658323</v>
      </c>
      <c r="T476" s="76">
        <v>51.424523894747558</v>
      </c>
      <c r="U476" s="76">
        <v>50.863145694889589</v>
      </c>
      <c r="V476" s="76">
        <v>50.305247886049045</v>
      </c>
    </row>
    <row r="477" spans="1:22" x14ac:dyDescent="0.3">
      <c r="A477" s="3" t="str">
        <f>INDEX(Mapping!$Y:$Y,MATCH($C477,Mapping!$W:$W,0))</f>
        <v>Rural</v>
      </c>
      <c r="B477" s="3" t="str">
        <f>INDEX(Mapping!$V:$V,MATCH(C477,Mapping!$W:$W,0))</f>
        <v>SWV</v>
      </c>
      <c r="C477" t="s">
        <v>189</v>
      </c>
      <c r="D477">
        <v>1</v>
      </c>
      <c r="E477" s="20"/>
      <c r="F477" s="76">
        <v>50.886039886039889</v>
      </c>
      <c r="G477" s="76">
        <v>48.017094017094017</v>
      </c>
      <c r="H477" s="76">
        <v>47.413105413105413</v>
      </c>
      <c r="I477" s="76">
        <v>54.56980056980057</v>
      </c>
      <c r="J477" s="76">
        <v>57.88225924092368</v>
      </c>
      <c r="K477" s="76">
        <v>57.181171142663906</v>
      </c>
      <c r="L477" s="76">
        <v>56.578887962571812</v>
      </c>
      <c r="M477" s="76">
        <v>55.993190456840743</v>
      </c>
      <c r="N477" s="76">
        <v>55.401926099164996</v>
      </c>
      <c r="O477" s="76">
        <v>54.817109717078353</v>
      </c>
      <c r="P477" s="76">
        <v>54.24031403640582</v>
      </c>
      <c r="Q477" s="76">
        <v>53.670011365026731</v>
      </c>
      <c r="R477" s="76">
        <v>53.102001338127202</v>
      </c>
      <c r="S477" s="76">
        <v>52.540045423475561</v>
      </c>
      <c r="T477" s="76">
        <v>51.983367689658323</v>
      </c>
      <c r="U477" s="76">
        <v>51.424523894747558</v>
      </c>
      <c r="V477" s="76">
        <v>50.863145694889589</v>
      </c>
    </row>
    <row r="478" spans="1:22" x14ac:dyDescent="0.3">
      <c r="A478" s="3" t="str">
        <f>INDEX(Mapping!$Y:$Y,MATCH($C478,Mapping!$W:$W,0))</f>
        <v>Rural</v>
      </c>
      <c r="B478" s="3" t="str">
        <f>INDEX(Mapping!$V:$V,MATCH(C478,Mapping!$W:$W,0))</f>
        <v>SWV</v>
      </c>
      <c r="C478" t="s">
        <v>189</v>
      </c>
      <c r="D478">
        <v>2</v>
      </c>
      <c r="E478" s="20"/>
      <c r="F478" s="76">
        <v>45.125356125356127</v>
      </c>
      <c r="G478" s="76">
        <v>42.581196581196586</v>
      </c>
      <c r="H478" s="76">
        <v>42.04558404558405</v>
      </c>
      <c r="I478" s="76">
        <v>47.413105413105413</v>
      </c>
      <c r="J478" s="76">
        <v>54.56980056980057</v>
      </c>
      <c r="K478" s="76">
        <v>57.88225924092368</v>
      </c>
      <c r="L478" s="76">
        <v>57.181171142663906</v>
      </c>
      <c r="M478" s="76">
        <v>56.578887962571812</v>
      </c>
      <c r="N478" s="76">
        <v>55.993190456840743</v>
      </c>
      <c r="O478" s="76">
        <v>55.401926099164996</v>
      </c>
      <c r="P478" s="76">
        <v>54.817109717078353</v>
      </c>
      <c r="Q478" s="76">
        <v>54.24031403640582</v>
      </c>
      <c r="R478" s="76">
        <v>53.670011365026731</v>
      </c>
      <c r="S478" s="76">
        <v>53.102001338127202</v>
      </c>
      <c r="T478" s="76">
        <v>52.540045423475561</v>
      </c>
      <c r="U478" s="76">
        <v>51.983367689658323</v>
      </c>
      <c r="V478" s="76">
        <v>51.424523894747558</v>
      </c>
    </row>
    <row r="479" spans="1:22" x14ac:dyDescent="0.3">
      <c r="A479" s="3" t="str">
        <f>INDEX(Mapping!$Y:$Y,MATCH($C479,Mapping!$W:$W,0))</f>
        <v>Rural</v>
      </c>
      <c r="B479" s="3" t="str">
        <f>INDEX(Mapping!$V:$V,MATCH(C479,Mapping!$W:$W,0))</f>
        <v>SWV</v>
      </c>
      <c r="C479" t="s">
        <v>189</v>
      </c>
      <c r="D479">
        <v>3</v>
      </c>
      <c r="E479" s="20"/>
      <c r="F479" s="76">
        <v>57.606837606837608</v>
      </c>
      <c r="G479" s="76">
        <v>54.358974358974358</v>
      </c>
      <c r="H479" s="76">
        <v>53.675213675213676</v>
      </c>
      <c r="I479" s="76">
        <v>42.04558404558405</v>
      </c>
      <c r="J479" s="76">
        <v>47.413105413105413</v>
      </c>
      <c r="K479" s="76">
        <v>54.56980056980057</v>
      </c>
      <c r="L479" s="76">
        <v>57.88225924092368</v>
      </c>
      <c r="M479" s="76">
        <v>57.181171142663906</v>
      </c>
      <c r="N479" s="76">
        <v>56.578887962571812</v>
      </c>
      <c r="O479" s="76">
        <v>55.993190456840743</v>
      </c>
      <c r="P479" s="76">
        <v>55.401926099164996</v>
      </c>
      <c r="Q479" s="76">
        <v>54.817109717078353</v>
      </c>
      <c r="R479" s="76">
        <v>54.24031403640582</v>
      </c>
      <c r="S479" s="76">
        <v>53.670011365026731</v>
      </c>
      <c r="T479" s="76">
        <v>53.102001338127202</v>
      </c>
      <c r="U479" s="76">
        <v>52.540045423475561</v>
      </c>
      <c r="V479" s="76">
        <v>51.983367689658323</v>
      </c>
    </row>
    <row r="480" spans="1:22" x14ac:dyDescent="0.3">
      <c r="A480" s="3" t="str">
        <f>INDEX(Mapping!$Y:$Y,MATCH($C480,Mapping!$W:$W,0))</f>
        <v>Rural</v>
      </c>
      <c r="B480" s="3" t="str">
        <f>INDEX(Mapping!$V:$V,MATCH(C480,Mapping!$W:$W,0))</f>
        <v>SWV</v>
      </c>
      <c r="C480" t="s">
        <v>189</v>
      </c>
      <c r="D480">
        <v>4</v>
      </c>
      <c r="E480" s="20"/>
      <c r="F480" s="76">
        <v>57.606837606837608</v>
      </c>
      <c r="G480" s="76">
        <v>54.358974358974358</v>
      </c>
      <c r="H480" s="76">
        <v>53.675213675213676</v>
      </c>
      <c r="I480" s="76">
        <v>53.675213675213676</v>
      </c>
      <c r="J480" s="76">
        <v>42.04558404558405</v>
      </c>
      <c r="K480" s="76">
        <v>47.413105413105413</v>
      </c>
      <c r="L480" s="76">
        <v>54.56980056980057</v>
      </c>
      <c r="M480" s="76">
        <v>57.88225924092368</v>
      </c>
      <c r="N480" s="76">
        <v>57.181171142663906</v>
      </c>
      <c r="O480" s="76">
        <v>56.578887962571812</v>
      </c>
      <c r="P480" s="76">
        <v>55.993190456840743</v>
      </c>
      <c r="Q480" s="76">
        <v>55.401926099164996</v>
      </c>
      <c r="R480" s="76">
        <v>54.817109717078353</v>
      </c>
      <c r="S480" s="76">
        <v>54.24031403640582</v>
      </c>
      <c r="T480" s="76">
        <v>53.670011365026731</v>
      </c>
      <c r="U480" s="76">
        <v>53.102001338127202</v>
      </c>
      <c r="V480" s="76">
        <v>52.540045423475561</v>
      </c>
    </row>
    <row r="481" spans="1:22" x14ac:dyDescent="0.3">
      <c r="A481" s="3" t="str">
        <f>INDEX(Mapping!$Y:$Y,MATCH($C481,Mapping!$W:$W,0))</f>
        <v>Rural</v>
      </c>
      <c r="B481" s="3" t="str">
        <f>INDEX(Mapping!$V:$V,MATCH(C481,Mapping!$W:$W,0))</f>
        <v>SWV</v>
      </c>
      <c r="C481" t="s">
        <v>189</v>
      </c>
      <c r="D481">
        <v>5</v>
      </c>
      <c r="E481" s="20"/>
      <c r="F481" s="76">
        <v>84.757834757834758</v>
      </c>
      <c r="G481" s="76">
        <v>85.156695156695164</v>
      </c>
      <c r="H481" s="76">
        <v>79.772079772079778</v>
      </c>
      <c r="I481" s="76">
        <v>53.675213675213676</v>
      </c>
      <c r="J481" s="76">
        <v>53.675213675213676</v>
      </c>
      <c r="K481" s="76">
        <v>42.04558404558405</v>
      </c>
      <c r="L481" s="76">
        <v>47.413105413105413</v>
      </c>
      <c r="M481" s="76">
        <v>54.56980056980057</v>
      </c>
      <c r="N481" s="76">
        <v>57.88225924092368</v>
      </c>
      <c r="O481" s="76">
        <v>57.181171142663906</v>
      </c>
      <c r="P481" s="76">
        <v>56.578887962571812</v>
      </c>
      <c r="Q481" s="76">
        <v>55.993190456840743</v>
      </c>
      <c r="R481" s="76">
        <v>55.401926099164996</v>
      </c>
      <c r="S481" s="76">
        <v>54.817109717078353</v>
      </c>
      <c r="T481" s="76">
        <v>54.24031403640582</v>
      </c>
      <c r="U481" s="76">
        <v>53.670011365026731</v>
      </c>
      <c r="V481" s="76">
        <v>53.102001338127202</v>
      </c>
    </row>
    <row r="482" spans="1:22" x14ac:dyDescent="0.3"/>
    <row r="483" spans="1:22" x14ac:dyDescent="0.3">
      <c r="F483" s="11"/>
      <c r="G483" s="11"/>
      <c r="H483" s="11"/>
      <c r="I483" s="11"/>
      <c r="J483" s="11"/>
      <c r="K483" s="11"/>
      <c r="L483" s="11"/>
      <c r="M483" s="11"/>
      <c r="N483" s="11"/>
      <c r="O483" s="11"/>
      <c r="P483" s="11"/>
      <c r="Q483" s="11"/>
      <c r="R483" s="11"/>
      <c r="S483" s="11"/>
      <c r="T483" s="11"/>
      <c r="U483" s="11"/>
      <c r="V483" s="11"/>
    </row>
    <row r="484" spans="1:22" x14ac:dyDescent="0.3"/>
    <row r="485" spans="1:22" x14ac:dyDescent="0.3"/>
  </sheetData>
  <sheetProtection algorithmName="SHA-512" hashValue="7g5u6jaRmUcaG1rE4yBhGmd1dP4F9aBoiBqjfssbJzriXij4Y9rBO2MzPBU652cVTsBZ8Db0Qh56FpVzpXXC0Q==" saltValue="4IRMwQYmAgQZj9GczlZf/Q==" spinCount="100000" sheet="1" objects="1" scenarios="1"/>
  <protectedRanges>
    <protectedRange sqref="F8:V481 AE9:AS48 AZ9:CR87" name="Other"/>
  </protectedRange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499"/>
  <sheetViews>
    <sheetView showGridLines="0" showRowColHeaders="0" zoomScaleNormal="100" zoomScaleSheetLayoutView="100" zoomScalePageLayoutView="70" workbookViewId="0"/>
  </sheetViews>
  <sheetFormatPr defaultColWidth="0" defaultRowHeight="14" zeroHeight="1" x14ac:dyDescent="0.3"/>
  <cols>
    <col min="1" max="1" width="28.09765625" customWidth="1"/>
    <col min="2" max="2" width="21.296875" customWidth="1"/>
    <col min="3" max="13" width="9.09765625" customWidth="1"/>
    <col min="14" max="14" width="13.296875" customWidth="1"/>
    <col min="15" max="15" width="9.09765625" customWidth="1"/>
    <col min="16" max="16" width="9.296875" customWidth="1"/>
    <col min="17" max="17" width="9.09765625" customWidth="1"/>
    <col min="18" max="18" width="12.09765625" customWidth="1"/>
    <col min="19" max="20" width="9.09765625" hidden="1" customWidth="1"/>
    <col min="21" max="16384" width="9.09765625" hidden="1"/>
  </cols>
  <sheetData>
    <row r="1" spans="1:20" s="29" customFormat="1" ht="16.5" x14ac:dyDescent="0.3">
      <c r="A1" s="162"/>
      <c r="B1" s="94"/>
      <c r="C1" s="95">
        <f>baseline</f>
        <v>2017</v>
      </c>
      <c r="D1" s="95">
        <f>IF(C1+1&gt;2031,2031,C1+1)</f>
        <v>2018</v>
      </c>
      <c r="E1" s="95">
        <f t="shared" ref="E1:Q1" si="0">IF(D1+1&gt;2031,2031,D1+1)</f>
        <v>2019</v>
      </c>
      <c r="F1" s="95">
        <f t="shared" si="0"/>
        <v>2020</v>
      </c>
      <c r="G1" s="95">
        <f t="shared" si="0"/>
        <v>2021</v>
      </c>
      <c r="H1" s="95">
        <f t="shared" si="0"/>
        <v>2022</v>
      </c>
      <c r="I1" s="95">
        <f t="shared" si="0"/>
        <v>2023</v>
      </c>
      <c r="J1" s="95">
        <f t="shared" si="0"/>
        <v>2024</v>
      </c>
      <c r="K1" s="95">
        <f t="shared" si="0"/>
        <v>2025</v>
      </c>
      <c r="L1" s="95">
        <f t="shared" si="0"/>
        <v>2026</v>
      </c>
      <c r="M1" s="95">
        <f t="shared" si="0"/>
        <v>2027</v>
      </c>
      <c r="N1" s="95">
        <f t="shared" si="0"/>
        <v>2028</v>
      </c>
      <c r="O1" s="95">
        <f t="shared" si="0"/>
        <v>2029</v>
      </c>
      <c r="P1" s="95">
        <f t="shared" si="0"/>
        <v>2030</v>
      </c>
      <c r="Q1" s="95">
        <f t="shared" si="0"/>
        <v>2031</v>
      </c>
      <c r="R1" s="95"/>
      <c r="S1" s="94"/>
      <c r="T1" s="94"/>
    </row>
    <row r="2" spans="1:20" s="29" customFormat="1" ht="16.5" x14ac:dyDescent="0.3">
      <c r="B2" s="94"/>
      <c r="C2" s="145" t="str">
        <f>INDEX(Mapping!$B:$B,MATCH(C$1,Mapping!$C:$C,0))</f>
        <v>2017-18</v>
      </c>
      <c r="D2" s="145" t="str">
        <f>INDEX(Mapping!$B:$B,MATCH(D$1,Mapping!$C:$C,0))</f>
        <v>2018-19</v>
      </c>
      <c r="E2" s="145" t="str">
        <f>INDEX(Mapping!$B:$B,MATCH(E$1,Mapping!$C:$C,0))</f>
        <v>2019-20</v>
      </c>
      <c r="F2" s="145" t="str">
        <f>INDEX(Mapping!$B:$B,MATCH(F$1,Mapping!$C:$C,0))</f>
        <v>2020-21</v>
      </c>
      <c r="G2" s="145" t="str">
        <f>INDEX(Mapping!$B:$B,MATCH(G$1,Mapping!$C:$C,0))</f>
        <v>2021-22</v>
      </c>
      <c r="H2" s="145" t="str">
        <f>INDEX(Mapping!$B:$B,MATCH(H$1,Mapping!$C:$C,0))</f>
        <v>2022-23</v>
      </c>
      <c r="I2" s="145" t="str">
        <f>INDEX(Mapping!$B:$B,MATCH(I$1,Mapping!$C:$C,0))</f>
        <v>2023-24</v>
      </c>
      <c r="J2" s="145" t="str">
        <f>INDEX(Mapping!$B:$B,MATCH(J$1,Mapping!$C:$C,0))</f>
        <v>2024-25</v>
      </c>
      <c r="K2" s="145" t="str">
        <f>INDEX(Mapping!$B:$B,MATCH(K$1,Mapping!$C:$C,0))</f>
        <v>2025-26</v>
      </c>
      <c r="L2" s="145" t="str">
        <f>INDEX(Mapping!$B:$B,MATCH(L$1,Mapping!$C:$C,0))</f>
        <v>2026-27</v>
      </c>
      <c r="M2" s="145" t="str">
        <f>INDEX(Mapping!$B:$B,MATCH(M$1,Mapping!$C:$C,0))</f>
        <v>2027-28</v>
      </c>
      <c r="N2" s="145" t="str">
        <f>INDEX(Mapping!$B:$B,MATCH(N$1,Mapping!$C:$C,0))</f>
        <v>2028-29</v>
      </c>
      <c r="O2" s="145" t="str">
        <f>INDEX(Mapping!$B:$B,MATCH(O$1,Mapping!$C:$C,0))</f>
        <v>2029-30</v>
      </c>
      <c r="P2" s="145" t="str">
        <f>INDEX(Mapping!$B:$B,MATCH(P$1,Mapping!$C:$C,0))</f>
        <v>2030-31</v>
      </c>
      <c r="Q2" s="145" t="str">
        <f>INDEX(Mapping!$B:$B,MATCH(Q$1,Mapping!$C:$C,0))</f>
        <v>2031-32</v>
      </c>
      <c r="R2" s="145"/>
      <c r="S2" s="94"/>
      <c r="T2" s="94"/>
    </row>
    <row r="3" spans="1:20" s="29" customFormat="1" ht="16.5" x14ac:dyDescent="0.3">
      <c r="B3" s="94"/>
      <c r="C3" s="94"/>
      <c r="D3" s="94"/>
      <c r="E3" s="94"/>
      <c r="F3" s="94"/>
      <c r="G3" s="94"/>
      <c r="H3" s="94"/>
      <c r="I3" s="94"/>
      <c r="J3" s="94"/>
      <c r="K3" s="94"/>
      <c r="L3" s="94"/>
      <c r="M3" s="94"/>
      <c r="N3" s="94"/>
      <c r="O3" s="94"/>
      <c r="P3" s="94"/>
      <c r="Q3" s="94"/>
      <c r="R3" s="94"/>
      <c r="S3" s="94"/>
      <c r="T3" s="94"/>
    </row>
    <row r="4" spans="1:20" ht="16.5" x14ac:dyDescent="0.3">
      <c r="A4" s="72"/>
      <c r="B4" s="71"/>
      <c r="C4" s="71"/>
      <c r="D4" s="71"/>
      <c r="E4" s="71"/>
      <c r="F4" s="71"/>
      <c r="G4" s="71"/>
      <c r="H4" s="71"/>
      <c r="I4" s="71"/>
      <c r="J4" s="71"/>
      <c r="K4" s="71"/>
      <c r="L4" s="71"/>
      <c r="M4" s="71"/>
      <c r="N4" s="71"/>
      <c r="O4" s="71"/>
      <c r="P4" s="71"/>
      <c r="Q4" s="71"/>
      <c r="R4" s="71"/>
      <c r="S4" s="71"/>
      <c r="T4" s="71"/>
    </row>
    <row r="5" spans="1:20" ht="50.25" thickBot="1" x14ac:dyDescent="0.35">
      <c r="A5" s="200" t="str">
        <f>"Maternal and Child Health Workforce Report "&amp;INDEX(Mapping!$B:$B,MATCH(baseline+1,Mapping!$C:$C,0))&amp;":"</f>
        <v>Maternal and Child Health Workforce Report 2018-19:</v>
      </c>
      <c r="B5" s="200"/>
      <c r="C5" s="200"/>
      <c r="D5" s="200"/>
      <c r="E5" s="200"/>
      <c r="F5" s="200"/>
      <c r="G5" s="200"/>
      <c r="H5" s="200"/>
      <c r="I5" s="200"/>
      <c r="J5" s="200"/>
      <c r="K5" s="200"/>
      <c r="L5" s="200"/>
      <c r="M5" s="200"/>
      <c r="N5" s="69" t="str">
        <f>council2</f>
        <v>Alpine</v>
      </c>
      <c r="O5" s="69"/>
      <c r="P5" s="68"/>
      <c r="Q5" s="56"/>
      <c r="R5" s="56"/>
      <c r="S5" s="56"/>
      <c r="T5" s="56"/>
    </row>
    <row r="6" spans="1:20" ht="17.25" thickTop="1" x14ac:dyDescent="0.3">
      <c r="A6" s="33"/>
    </row>
    <row r="7" spans="1:20" s="149" customFormat="1" ht="38.25" customHeight="1" x14ac:dyDescent="0.3">
      <c r="A7" s="205" t="str">
        <f>"This MCH workforce report presents projections of Maternal and Child Health (MCH) workforce supply and demand for "&amp;council2&amp;" from "&amp;INDEX(Mapping!$B:$B,MATCH(baseline+1,Mapping!$C:$C,0))&amp;" to "&amp;INDEX(Mapping!$B:$B,MATCH(2031,Mapping!$C:$C,0))&amp;". Using these projections, this report provides a series of summary charts on model inputs and model outputs. All outputs are reported in terms of full-time equivalent staff (FTEs)."</f>
        <v>This MCH workforce report presents projections of Maternal and Child Health (MCH) workforce supply and demand for Alpine from 2018-19 to 2031-32. Using these projections, this report provides a series of summary charts on model inputs and model outputs. All outputs are reported in terms of full-time equivalent staff (FTEs).</v>
      </c>
      <c r="B7" s="205"/>
      <c r="C7" s="205"/>
      <c r="D7" s="205"/>
      <c r="E7" s="205"/>
      <c r="F7" s="205"/>
      <c r="G7" s="205"/>
      <c r="H7" s="205"/>
      <c r="I7" s="205"/>
      <c r="J7" s="205"/>
      <c r="K7" s="205"/>
      <c r="L7" s="205"/>
      <c r="M7" s="205"/>
      <c r="N7" s="205"/>
      <c r="O7" s="205"/>
      <c r="P7" s="205"/>
      <c r="Q7" s="205"/>
      <c r="R7" s="205"/>
      <c r="S7" s="153"/>
      <c r="T7" s="153"/>
    </row>
    <row r="8" spans="1:20" s="149" customFormat="1" ht="48" customHeight="1" x14ac:dyDescent="0.3">
      <c r="A8" s="205" t="s">
        <v>299</v>
      </c>
      <c r="B8" s="205"/>
      <c r="C8" s="205"/>
      <c r="D8" s="205"/>
      <c r="E8" s="205"/>
      <c r="F8" s="205"/>
      <c r="G8" s="205"/>
      <c r="H8" s="205"/>
      <c r="I8" s="205"/>
      <c r="J8" s="205"/>
      <c r="K8" s="205"/>
      <c r="L8" s="205"/>
      <c r="M8" s="205"/>
      <c r="N8" s="205"/>
      <c r="O8" s="205"/>
      <c r="P8" s="205"/>
      <c r="Q8" s="205"/>
      <c r="R8" s="205"/>
      <c r="S8" s="153"/>
      <c r="T8" s="153"/>
    </row>
    <row r="9" spans="1:20" ht="16.5" x14ac:dyDescent="0.3"/>
    <row r="10" spans="1:20" ht="24" thickBot="1" x14ac:dyDescent="0.4">
      <c r="A10" s="38" t="s">
        <v>249</v>
      </c>
      <c r="B10" s="25"/>
      <c r="C10" s="25"/>
      <c r="D10" s="25"/>
      <c r="E10" s="25"/>
      <c r="F10" s="25"/>
      <c r="G10" s="25"/>
      <c r="H10" s="25"/>
      <c r="I10" s="25"/>
      <c r="J10" s="25"/>
      <c r="K10" s="25"/>
      <c r="L10" s="25"/>
      <c r="M10" s="25"/>
      <c r="N10" s="25"/>
      <c r="O10" s="25"/>
      <c r="P10" s="25"/>
      <c r="Q10" s="25"/>
      <c r="R10" s="25"/>
      <c r="S10" s="25"/>
      <c r="T10" s="25"/>
    </row>
    <row r="11" spans="1:20" ht="17.25" thickTop="1" x14ac:dyDescent="0.3"/>
    <row r="12" spans="1:20" ht="48.75" customHeight="1" x14ac:dyDescent="0.3">
      <c r="A12" s="205" t="s">
        <v>310</v>
      </c>
      <c r="B12" s="205"/>
      <c r="C12" s="205"/>
      <c r="D12" s="205"/>
      <c r="E12" s="205"/>
      <c r="F12" s="205"/>
      <c r="G12" s="205"/>
      <c r="H12" s="205"/>
      <c r="I12" s="205"/>
      <c r="J12" s="205"/>
      <c r="K12" s="205"/>
      <c r="L12" s="205"/>
      <c r="M12" s="205"/>
      <c r="N12" s="205"/>
      <c r="O12" s="205"/>
      <c r="P12" s="205"/>
      <c r="Q12" s="205"/>
      <c r="R12" s="205"/>
      <c r="S12" s="31"/>
      <c r="T12" s="31"/>
    </row>
    <row r="13" spans="1:20" ht="51" customHeight="1" x14ac:dyDescent="0.3">
      <c r="A13" s="205" t="s">
        <v>453</v>
      </c>
      <c r="B13" s="205"/>
      <c r="C13" s="205"/>
      <c r="D13" s="205"/>
      <c r="E13" s="205"/>
      <c r="F13" s="205"/>
      <c r="G13" s="205"/>
      <c r="H13" s="205"/>
      <c r="I13" s="205"/>
      <c r="J13" s="205"/>
      <c r="K13" s="205"/>
      <c r="L13" s="205"/>
      <c r="M13" s="205"/>
      <c r="N13" s="205"/>
      <c r="O13" s="205"/>
      <c r="P13" s="205"/>
      <c r="Q13" s="205"/>
      <c r="R13" s="205"/>
      <c r="S13" s="31"/>
      <c r="T13" s="31"/>
    </row>
    <row r="14" spans="1:20" x14ac:dyDescent="0.3">
      <c r="A14" s="154"/>
      <c r="B14" s="154"/>
      <c r="C14" s="154"/>
      <c r="D14" s="154"/>
      <c r="E14" s="154"/>
      <c r="F14" s="154"/>
      <c r="G14" s="154"/>
      <c r="H14" s="154"/>
      <c r="I14" s="154"/>
      <c r="J14" s="154"/>
      <c r="K14" s="154"/>
      <c r="L14" s="154"/>
      <c r="M14" s="154"/>
      <c r="N14" s="154"/>
      <c r="O14" s="154"/>
      <c r="P14" s="154"/>
      <c r="Q14" s="154"/>
      <c r="R14" s="154"/>
      <c r="S14" s="31"/>
      <c r="T14" s="31"/>
    </row>
    <row r="15" spans="1:20" x14ac:dyDescent="0.3">
      <c r="A15" s="154"/>
      <c r="B15" s="154"/>
      <c r="C15" s="154"/>
      <c r="D15" s="154"/>
      <c r="E15" s="154"/>
      <c r="F15" s="154"/>
      <c r="G15" s="154"/>
      <c r="H15" s="154"/>
      <c r="I15" s="154"/>
      <c r="J15" s="154"/>
      <c r="K15" s="154"/>
      <c r="L15" s="154"/>
      <c r="M15" s="154"/>
      <c r="N15" s="154"/>
      <c r="O15" s="154"/>
      <c r="P15" s="154"/>
      <c r="Q15" s="154"/>
      <c r="R15" s="154"/>
      <c r="S15" s="31"/>
      <c r="T15" s="31"/>
    </row>
    <row r="16" spans="1:20" x14ac:dyDescent="0.3"/>
    <row r="17" spans="1:20" ht="23" thickBot="1" x14ac:dyDescent="0.5">
      <c r="A17" s="38" t="s">
        <v>426</v>
      </c>
      <c r="B17" s="25"/>
      <c r="C17" s="25"/>
      <c r="D17" s="25"/>
      <c r="E17" s="25"/>
      <c r="F17" s="25"/>
      <c r="G17" s="25"/>
      <c r="H17" s="25"/>
      <c r="I17" s="25"/>
      <c r="J17" s="25"/>
      <c r="K17" s="25"/>
      <c r="L17" s="25"/>
      <c r="M17" s="25"/>
      <c r="N17" s="25"/>
      <c r="O17" s="25"/>
      <c r="P17" s="25"/>
      <c r="Q17" s="25"/>
      <c r="R17" s="25"/>
      <c r="S17" s="25"/>
      <c r="T17" s="25"/>
    </row>
    <row r="18" spans="1:20" ht="14.5" thickTop="1" x14ac:dyDescent="0.3"/>
    <row r="19" spans="1:20" x14ac:dyDescent="0.3">
      <c r="A19" s="4" t="s">
        <v>292</v>
      </c>
      <c r="B19" t="s">
        <v>431</v>
      </c>
    </row>
    <row r="20" spans="1:20" x14ac:dyDescent="0.3">
      <c r="A20" s="4" t="s">
        <v>293</v>
      </c>
      <c r="B20" t="s">
        <v>312</v>
      </c>
    </row>
    <row r="21" spans="1:20" x14ac:dyDescent="0.3">
      <c r="A21" s="4" t="s">
        <v>294</v>
      </c>
      <c r="B21" t="s">
        <v>311</v>
      </c>
    </row>
    <row r="22" spans="1:20" x14ac:dyDescent="0.3">
      <c r="A22" s="4" t="s">
        <v>308</v>
      </c>
      <c r="B22" t="s">
        <v>297</v>
      </c>
    </row>
    <row r="23" spans="1:20" x14ac:dyDescent="0.3">
      <c r="A23" s="4" t="s">
        <v>295</v>
      </c>
      <c r="B23" t="s">
        <v>298</v>
      </c>
    </row>
    <row r="24" spans="1:20" x14ac:dyDescent="0.3"/>
    <row r="25" spans="1:20" x14ac:dyDescent="0.3"/>
    <row r="26" spans="1:20" x14ac:dyDescent="0.3"/>
    <row r="27" spans="1:20" x14ac:dyDescent="0.3"/>
    <row r="28" spans="1:20" x14ac:dyDescent="0.3"/>
    <row r="29" spans="1:20" x14ac:dyDescent="0.3"/>
    <row r="30" spans="1:20" x14ac:dyDescent="0.3"/>
    <row r="31" spans="1:20" x14ac:dyDescent="0.3"/>
    <row r="32" spans="1:20" x14ac:dyDescent="0.3"/>
    <row r="33" spans="1:20" x14ac:dyDescent="0.3"/>
    <row r="34" spans="1:20" x14ac:dyDescent="0.3"/>
    <row r="35" spans="1:20" ht="23" thickBot="1" x14ac:dyDescent="0.5">
      <c r="A35" s="38" t="s">
        <v>287</v>
      </c>
      <c r="B35" s="25"/>
      <c r="C35" s="25"/>
      <c r="D35" s="25"/>
      <c r="E35" s="25"/>
      <c r="F35" s="25"/>
      <c r="G35" s="25"/>
      <c r="H35" s="25"/>
      <c r="I35" s="25"/>
      <c r="J35" s="25"/>
      <c r="K35" s="25"/>
      <c r="L35" s="25"/>
      <c r="M35" s="25"/>
      <c r="N35" s="25"/>
      <c r="O35" s="25"/>
      <c r="P35" s="25"/>
      <c r="Q35" s="25"/>
      <c r="R35" s="25"/>
      <c r="S35" s="25"/>
      <c r="T35" s="25"/>
    </row>
    <row r="36" spans="1:20" ht="14.5" thickTop="1" x14ac:dyDescent="0.3">
      <c r="A36" s="167" t="s">
        <v>454</v>
      </c>
    </row>
    <row r="37" spans="1:20" s="173" customFormat="1" x14ac:dyDescent="0.3"/>
    <row r="38" spans="1:20" ht="20" x14ac:dyDescent="0.4">
      <c r="A38" s="54" t="s">
        <v>432</v>
      </c>
    </row>
    <row r="39" spans="1:20" ht="16.5" customHeight="1" x14ac:dyDescent="0.3"/>
    <row r="40" spans="1:20" ht="20" x14ac:dyDescent="0.4">
      <c r="A40" s="54"/>
      <c r="B40" s="34"/>
      <c r="C40" s="34"/>
      <c r="D40" s="34"/>
      <c r="E40" s="34"/>
      <c r="F40" s="34"/>
      <c r="G40" s="34"/>
      <c r="H40" s="34"/>
      <c r="I40" s="34"/>
      <c r="J40" s="55"/>
      <c r="K40" s="43"/>
      <c r="L40" s="43"/>
      <c r="M40" s="43"/>
      <c r="N40" s="43"/>
      <c r="O40" s="43"/>
      <c r="P40" s="43"/>
      <c r="Q40" s="43"/>
      <c r="S40" s="32"/>
      <c r="T40" s="32"/>
    </row>
    <row r="41" spans="1:20" ht="104.25" customHeight="1" x14ac:dyDescent="0.3">
      <c r="A41" s="184"/>
      <c r="B41" s="184"/>
      <c r="C41" s="184"/>
      <c r="D41" s="184"/>
      <c r="E41" s="184"/>
      <c r="F41" s="184"/>
      <c r="G41" s="31"/>
      <c r="H41" s="31"/>
      <c r="I41" s="31"/>
      <c r="S41" s="31"/>
      <c r="T41" s="31"/>
    </row>
    <row r="42" spans="1:20" x14ac:dyDescent="0.3">
      <c r="A42" s="24"/>
      <c r="G42" s="31"/>
      <c r="H42" s="31"/>
      <c r="I42" s="31"/>
      <c r="O42" s="26"/>
      <c r="P42" s="26"/>
      <c r="Q42" s="26"/>
      <c r="S42" s="31"/>
      <c r="T42" s="31"/>
    </row>
    <row r="43" spans="1:20" x14ac:dyDescent="0.3"/>
    <row r="44" spans="1:20" x14ac:dyDescent="0.3">
      <c r="G44" s="31"/>
      <c r="H44" s="31"/>
      <c r="I44" s="31"/>
      <c r="S44" s="31"/>
      <c r="T44" s="31"/>
    </row>
    <row r="45" spans="1:20" x14ac:dyDescent="0.3">
      <c r="A45" s="43"/>
      <c r="B45" s="43"/>
      <c r="C45" s="43"/>
      <c r="D45" s="43"/>
      <c r="E45" s="43"/>
      <c r="F45" s="43"/>
      <c r="G45" s="31"/>
      <c r="H45" s="31"/>
      <c r="I45" s="31"/>
      <c r="S45" s="31"/>
      <c r="T45" s="31"/>
    </row>
    <row r="46" spans="1:20" ht="20" x14ac:dyDescent="0.4">
      <c r="A46" s="54"/>
      <c r="B46" s="34"/>
      <c r="C46" s="32"/>
      <c r="E46" s="32"/>
      <c r="G46" s="32"/>
      <c r="H46" s="32"/>
      <c r="I46" s="31"/>
      <c r="J46" s="55"/>
      <c r="S46" s="31"/>
      <c r="T46" s="31"/>
    </row>
    <row r="47" spans="1:20" ht="20" x14ac:dyDescent="0.4">
      <c r="A47" s="54"/>
      <c r="B47" s="34"/>
      <c r="C47" s="32"/>
      <c r="E47" s="32"/>
      <c r="G47" s="32"/>
      <c r="H47" s="32"/>
      <c r="I47" s="31"/>
      <c r="J47" s="55"/>
      <c r="S47" s="31"/>
      <c r="T47" s="31"/>
    </row>
    <row r="48" spans="1:20" ht="20" x14ac:dyDescent="0.4">
      <c r="A48" s="165" t="s">
        <v>433</v>
      </c>
      <c r="B48" s="34"/>
      <c r="C48" s="32"/>
      <c r="E48" s="32"/>
      <c r="G48" s="32"/>
      <c r="H48" s="32"/>
      <c r="I48" s="31"/>
      <c r="J48" s="55"/>
      <c r="S48" s="31"/>
      <c r="T48" s="31"/>
    </row>
    <row r="49" spans="1:20" x14ac:dyDescent="0.3"/>
    <row r="50" spans="1:20" ht="20" x14ac:dyDescent="0.4">
      <c r="A50" s="165"/>
      <c r="B50" s="54"/>
      <c r="C50" s="54"/>
      <c r="D50" s="54"/>
      <c r="E50" s="54"/>
      <c r="F50" s="54"/>
      <c r="G50" s="54"/>
      <c r="H50" s="54"/>
      <c r="I50" s="54"/>
      <c r="S50" s="31"/>
      <c r="T50" s="31"/>
    </row>
    <row r="51" spans="1:20" x14ac:dyDescent="0.3">
      <c r="S51" s="31"/>
      <c r="T51" s="31"/>
    </row>
    <row r="52" spans="1:20" ht="43.5" customHeight="1" x14ac:dyDescent="0.3">
      <c r="A52" s="203"/>
      <c r="B52" s="203"/>
      <c r="C52" s="203"/>
      <c r="D52" s="203"/>
      <c r="E52" s="203"/>
      <c r="F52" s="203"/>
      <c r="G52" s="203"/>
      <c r="H52" s="203"/>
      <c r="I52" s="203"/>
      <c r="S52" s="31"/>
      <c r="T52" s="31"/>
    </row>
    <row r="53" spans="1:20" x14ac:dyDescent="0.3">
      <c r="A53" s="43"/>
      <c r="B53" s="43"/>
      <c r="C53" s="43"/>
      <c r="D53" s="43"/>
      <c r="E53" s="43"/>
      <c r="F53" s="43"/>
      <c r="G53" s="31"/>
      <c r="H53" s="31"/>
      <c r="I53" s="31"/>
      <c r="J53" s="43"/>
      <c r="K53" s="43"/>
      <c r="L53" s="43"/>
      <c r="M53" s="43"/>
      <c r="N53" s="43"/>
      <c r="O53" s="43"/>
      <c r="P53" s="43"/>
      <c r="Q53" s="43"/>
      <c r="R53" s="31"/>
      <c r="S53" s="31"/>
      <c r="T53" s="31"/>
    </row>
    <row r="54" spans="1:20" x14ac:dyDescent="0.3">
      <c r="A54" s="43"/>
      <c r="B54" s="43"/>
      <c r="C54" s="43"/>
      <c r="D54" s="43"/>
      <c r="E54" s="43"/>
      <c r="F54" s="43"/>
      <c r="G54" s="31"/>
      <c r="H54" s="31"/>
      <c r="I54" s="31"/>
      <c r="J54" s="43"/>
      <c r="K54" s="43"/>
      <c r="L54" s="43"/>
      <c r="M54" s="43"/>
      <c r="N54" s="43"/>
      <c r="O54" s="43"/>
      <c r="P54" s="43"/>
      <c r="Q54" s="43"/>
      <c r="R54" s="31"/>
      <c r="S54" s="31"/>
      <c r="T54" s="31"/>
    </row>
    <row r="55" spans="1:20" x14ac:dyDescent="0.3">
      <c r="A55" s="43"/>
      <c r="B55" s="43"/>
      <c r="C55" s="43"/>
      <c r="D55" s="43"/>
      <c r="E55" s="43"/>
      <c r="F55" s="43"/>
      <c r="G55" s="31"/>
      <c r="H55" s="31"/>
      <c r="I55" s="31"/>
      <c r="J55" s="43"/>
      <c r="K55" s="43"/>
      <c r="L55" s="43"/>
      <c r="M55" s="43"/>
      <c r="N55" s="43"/>
      <c r="O55" s="43"/>
      <c r="P55" s="43"/>
      <c r="Q55" s="43"/>
      <c r="R55" s="31"/>
      <c r="S55" s="31"/>
      <c r="T55" s="31"/>
    </row>
    <row r="56" spans="1:20" x14ac:dyDescent="0.3">
      <c r="A56" s="43"/>
      <c r="B56" s="43"/>
      <c r="C56" s="43"/>
      <c r="D56" s="43"/>
      <c r="E56" s="43"/>
      <c r="F56" s="43"/>
      <c r="G56" s="31"/>
      <c r="H56" s="31"/>
      <c r="I56" s="31"/>
      <c r="J56" s="43"/>
      <c r="K56" s="43"/>
      <c r="L56" s="43"/>
      <c r="M56" s="43"/>
      <c r="N56" s="43"/>
      <c r="O56" s="43"/>
      <c r="P56" s="43"/>
      <c r="Q56" s="43"/>
      <c r="R56" s="31"/>
      <c r="S56" s="31"/>
      <c r="T56" s="31"/>
    </row>
    <row r="57" spans="1:20" x14ac:dyDescent="0.3">
      <c r="G57" s="31"/>
      <c r="H57" s="31"/>
      <c r="I57" s="31"/>
      <c r="J57" s="43"/>
      <c r="K57" s="43"/>
      <c r="L57" s="43"/>
      <c r="M57" s="43"/>
      <c r="N57" s="43"/>
      <c r="O57" s="43"/>
      <c r="P57" s="43"/>
      <c r="Q57" s="43"/>
      <c r="R57" s="31"/>
      <c r="S57" s="31"/>
      <c r="T57" s="31"/>
    </row>
    <row r="58" spans="1:20" x14ac:dyDescent="0.3">
      <c r="G58" s="31"/>
      <c r="H58" s="31"/>
      <c r="I58" s="31"/>
      <c r="J58" s="43"/>
      <c r="K58" s="43"/>
      <c r="L58" s="43"/>
      <c r="M58" s="43"/>
      <c r="N58" s="43"/>
      <c r="O58" s="43"/>
      <c r="P58" s="43"/>
      <c r="Q58" s="43"/>
      <c r="R58" s="31"/>
      <c r="S58" s="31"/>
      <c r="T58" s="31"/>
    </row>
    <row r="59" spans="1:20" x14ac:dyDescent="0.3">
      <c r="G59" s="31"/>
      <c r="H59" s="31"/>
      <c r="I59" s="31"/>
      <c r="J59" s="43"/>
      <c r="K59" s="43"/>
      <c r="L59" s="43"/>
      <c r="M59" s="43"/>
      <c r="N59" s="43"/>
      <c r="O59" s="43"/>
      <c r="P59" s="43"/>
      <c r="Q59" s="43"/>
      <c r="R59" s="31"/>
      <c r="S59" s="31"/>
      <c r="T59" s="31"/>
    </row>
    <row r="60" spans="1:20" x14ac:dyDescent="0.3">
      <c r="F60" s="43"/>
      <c r="K60" s="43"/>
      <c r="L60" s="43"/>
      <c r="M60" s="43"/>
      <c r="N60" s="43"/>
      <c r="O60" s="43"/>
      <c r="P60" s="43"/>
      <c r="Q60" s="43"/>
      <c r="R60" s="31"/>
      <c r="S60" s="31"/>
      <c r="T60" s="31"/>
    </row>
    <row r="61" spans="1:20" x14ac:dyDescent="0.3">
      <c r="F61" s="43"/>
    </row>
    <row r="62" spans="1:20" ht="20" x14ac:dyDescent="0.4">
      <c r="A62" s="54" t="s">
        <v>291</v>
      </c>
      <c r="F62" s="43"/>
    </row>
    <row r="63" spans="1:20" x14ac:dyDescent="0.3">
      <c r="A63" s="4"/>
    </row>
    <row r="64" spans="1:20" x14ac:dyDescent="0.3">
      <c r="A64" s="4" t="s">
        <v>284</v>
      </c>
      <c r="C64" t="str">
        <f>INDEX(Mapping!$B:$B,MATCH(baseline,Mapping!$C:$C,0))</f>
        <v>2017-18</v>
      </c>
    </row>
    <row r="65" spans="1:20" x14ac:dyDescent="0.3">
      <c r="A65" s="53" t="s">
        <v>285</v>
      </c>
      <c r="B65" s="26"/>
      <c r="C65" t="str">
        <f>INDEX(Mapping!$B:$B,MATCH(baseline+1,Mapping!$C:$C,0))</f>
        <v>2018-19</v>
      </c>
      <c r="D65" s="113" t="s">
        <v>286</v>
      </c>
      <c r="E65" s="52" t="s">
        <v>338</v>
      </c>
    </row>
    <row r="66" spans="1:20" x14ac:dyDescent="0.3"/>
    <row r="67" spans="1:20" ht="23" thickBot="1" x14ac:dyDescent="0.5">
      <c r="A67" s="38" t="s">
        <v>434</v>
      </c>
      <c r="B67" s="25"/>
      <c r="C67" s="25"/>
      <c r="D67" s="25"/>
      <c r="E67" s="25"/>
      <c r="F67" s="25"/>
      <c r="G67" s="25"/>
      <c r="H67" s="25"/>
      <c r="I67" s="25"/>
      <c r="J67" s="25"/>
      <c r="K67" s="25"/>
      <c r="L67" s="25"/>
      <c r="M67" s="25"/>
      <c r="N67" s="25"/>
      <c r="O67" s="25"/>
      <c r="P67" s="25"/>
      <c r="Q67" s="25"/>
      <c r="R67" s="25"/>
      <c r="S67" s="25"/>
      <c r="T67" s="25"/>
    </row>
    <row r="68" spans="1:20" ht="34.5" customHeight="1" thickTop="1" x14ac:dyDescent="0.45">
      <c r="A68" s="199" t="s">
        <v>440</v>
      </c>
      <c r="B68" s="199"/>
      <c r="C68" s="199"/>
      <c r="D68" s="199"/>
      <c r="E68" s="199"/>
      <c r="F68" s="199"/>
      <c r="G68" s="199"/>
      <c r="H68" s="199"/>
      <c r="I68" s="199"/>
      <c r="J68" s="199"/>
      <c r="K68" s="199"/>
      <c r="L68" s="155" t="s">
        <v>250</v>
      </c>
      <c r="M68" s="51"/>
    </row>
    <row r="69" spans="1:20" x14ac:dyDescent="0.3"/>
    <row r="70" spans="1:20" ht="22.5" x14ac:dyDescent="0.4">
      <c r="A70" s="54" t="s">
        <v>435</v>
      </c>
      <c r="L70" s="155"/>
    </row>
    <row r="71" spans="1:20" ht="44.25" customHeight="1" x14ac:dyDescent="0.3">
      <c r="A71" s="156" t="str">
        <f>"Table 2.1 Historical or specified MCH workforce FTEs in "&amp;council2</f>
        <v>Table 2.1 Historical or specified MCH workforce FTEs in Alpine</v>
      </c>
      <c r="I71" s="156"/>
      <c r="J71" s="194" t="str">
        <f>"Figure 2.1 Council corrected historical workforce FTEs for "&amp;council2&amp;", to be used in to generate workforce projections"</f>
        <v>Figure 2.1 Council corrected historical workforce FTEs for Alpine, to be used in to generate workforce projections</v>
      </c>
      <c r="K71" s="194"/>
      <c r="L71" s="194"/>
      <c r="M71" s="194"/>
      <c r="N71" s="194"/>
      <c r="O71" s="194"/>
      <c r="P71" s="194"/>
      <c r="Q71" s="194"/>
    </row>
    <row r="72" spans="1:20" ht="18" x14ac:dyDescent="0.4">
      <c r="A72" s="57"/>
      <c r="C72" s="32">
        <f>baseline-2</f>
        <v>2015</v>
      </c>
      <c r="D72" s="32">
        <f>baseline-1</f>
        <v>2016</v>
      </c>
      <c r="E72" s="32">
        <f>baseline</f>
        <v>2017</v>
      </c>
      <c r="F72" s="26"/>
      <c r="H72" s="55"/>
      <c r="R72" s="26"/>
    </row>
    <row r="73" spans="1:20" x14ac:dyDescent="0.3">
      <c r="A73" s="66"/>
      <c r="C73" s="206" t="s">
        <v>300</v>
      </c>
      <c r="D73" s="207"/>
      <c r="E73" s="208"/>
      <c r="F73" s="198" t="s">
        <v>283</v>
      </c>
      <c r="G73" s="198"/>
      <c r="H73" s="198"/>
      <c r="L73" s="29">
        <f>baseline</f>
        <v>2017</v>
      </c>
    </row>
    <row r="74" spans="1:20" x14ac:dyDescent="0.3">
      <c r="A74" s="63" t="s">
        <v>238</v>
      </c>
      <c r="B74" s="63" t="s">
        <v>237</v>
      </c>
      <c r="C74" s="64" t="str">
        <f>INDEX(Mapping!$B:$B,MATCH(baseline-2,Mapping!$C:$C,0))</f>
        <v>2015-16</v>
      </c>
      <c r="D74" s="64" t="str">
        <f>INDEX(Mapping!$B:$B,MATCH(baseline-1,Mapping!$C:$C,0))</f>
        <v>2016-17</v>
      </c>
      <c r="E74" s="64" t="str">
        <f>INDEX(Mapping!$B:$B,MATCH(baseline,Mapping!$C:$C,0))</f>
        <v>2017-18</v>
      </c>
      <c r="F74" s="66"/>
      <c r="M74" s="26"/>
      <c r="N74" s="26"/>
      <c r="O74" s="26"/>
      <c r="P74" s="26"/>
      <c r="Q74" s="26"/>
      <c r="R74" s="26"/>
    </row>
    <row r="75" spans="1:20" ht="18" x14ac:dyDescent="0.3">
      <c r="A75" s="60" t="s">
        <v>84</v>
      </c>
      <c r="B75" s="60" t="s">
        <v>87</v>
      </c>
      <c r="C75" s="61">
        <f>INDEX('DHHS data'!$BL$18:$CO$96,MATCH(council,'DHHS data'!$BK$18:$BK$96,0),MATCH(C$72&amp;$A75&amp;$B75,'DHHS data'!$BL$13:$CO$13,0))</f>
        <v>0.7</v>
      </c>
      <c r="D75" s="61">
        <f>INDEX('DHHS data'!$BL$18:$CO$96,MATCH(council,'DHHS data'!$BK$18:$BK$96,0),MATCH(D$72&amp;$A75&amp;$B75,'DHHS data'!$BL$13:$CO$13,0))</f>
        <v>0.6</v>
      </c>
      <c r="E75" s="61">
        <f>INDEX('DHHS data'!$BL$18:$CO$96,MATCH(council,'DHHS data'!$BK$18:$BK$96,0),MATCH(E$72&amp;$A75&amp;$B75,'DHHS data'!$BL$13:$CO$13,0))</f>
        <v>0.8</v>
      </c>
      <c r="I75" s="168"/>
      <c r="J75" s="168"/>
      <c r="K75" s="168"/>
      <c r="L75" s="168"/>
      <c r="M75" s="168"/>
      <c r="N75" s="168"/>
      <c r="O75" s="168"/>
      <c r="P75" s="168"/>
      <c r="Q75" s="168"/>
      <c r="R75" s="26"/>
    </row>
    <row r="76" spans="1:20" x14ac:dyDescent="0.3">
      <c r="A76" s="60" t="s">
        <v>245</v>
      </c>
      <c r="B76" s="60" t="s">
        <v>87</v>
      </c>
      <c r="C76" s="61">
        <f>INDEX('DHHS data'!$BL$18:$CO$96,MATCH(council,'DHHS data'!$BK$18:$BK$96,0),MATCH(C$72&amp;$A76&amp;$B76,'DHHS data'!$BL$13:$CO$13,0))</f>
        <v>0.4</v>
      </c>
      <c r="D76" s="61">
        <f>INDEX('DHHS data'!$BL$18:$CO$96,MATCH(council,'DHHS data'!$BK$18:$BK$96,0),MATCH(D$72&amp;$A76&amp;$B76,'DHHS data'!$BL$13:$CO$13,0))</f>
        <v>0.2</v>
      </c>
      <c r="E76" s="61">
        <f>INDEX('DHHS data'!$BL$18:$CO$96,MATCH(council,'DHHS data'!$BK$18:$BK$96,0),MATCH(E$72&amp;$A76&amp;$B76,'DHHS data'!$BL$13:$CO$13,0))</f>
        <v>0.4</v>
      </c>
      <c r="M76" s="26"/>
      <c r="N76" s="26"/>
      <c r="O76" s="26"/>
      <c r="P76" s="26"/>
      <c r="Q76" s="26"/>
      <c r="R76" s="26"/>
    </row>
    <row r="77" spans="1:20" x14ac:dyDescent="0.3">
      <c r="A77" s="60" t="s">
        <v>245</v>
      </c>
      <c r="B77" s="60" t="s">
        <v>88</v>
      </c>
      <c r="C77" s="61">
        <f>INDEX('DHHS data'!$BL$18:$CO$96,MATCH(council,'DHHS data'!$BK$18:$BK$96,0),MATCH(C$72&amp;$A77&amp;$B77,'DHHS data'!$BL$13:$CO$13,0))</f>
        <v>0</v>
      </c>
      <c r="D77" s="61">
        <f>INDEX('DHHS data'!$BL$18:$CO$96,MATCH(council,'DHHS data'!$BK$18:$BK$96,0),MATCH(D$72&amp;$A77&amp;$B77,'DHHS data'!$BL$13:$CO$13,0))</f>
        <v>0</v>
      </c>
      <c r="E77" s="61">
        <f>INDEX('DHHS data'!$BL$18:$CO$96,MATCH(council,'DHHS data'!$BK$18:$BK$96,0),MATCH(E$72&amp;$A77&amp;$B77,'DHHS data'!$BL$13:$CO$13,0))</f>
        <v>0</v>
      </c>
      <c r="M77" s="26"/>
      <c r="N77" s="26"/>
      <c r="O77" s="26"/>
      <c r="P77" s="26"/>
      <c r="Q77" s="26"/>
      <c r="R77" s="26"/>
    </row>
    <row r="78" spans="1:20" x14ac:dyDescent="0.3">
      <c r="A78" s="60" t="s">
        <v>455</v>
      </c>
      <c r="B78" s="60" t="s">
        <v>87</v>
      </c>
      <c r="C78" s="61">
        <f>INDEX('DHHS data'!$BL$18:$CO$96,MATCH(council,'DHHS data'!$BK$18:$BK$96,0),MATCH(C$72&amp;$A78&amp;$B78,'DHHS data'!$BL$13:$CO$13,0))</f>
        <v>0.2</v>
      </c>
      <c r="D78" s="61">
        <f>INDEX('DHHS data'!$BL$18:$CO$96,MATCH(council,'DHHS data'!$BK$18:$BK$96,0),MATCH(D$72&amp;$A78&amp;$B78,'DHHS data'!$BL$13:$CO$13,0))</f>
        <v>0.2</v>
      </c>
      <c r="E78" s="61">
        <f>INDEX('DHHS data'!$BL$18:$CO$96,MATCH(council,'DHHS data'!$BK$18:$BK$96,0),MATCH(E$72&amp;$A78&amp;$B78,'DHHS data'!$BL$13:$CO$13,0))</f>
        <v>0.2</v>
      </c>
      <c r="M78" s="26"/>
      <c r="N78" s="26"/>
      <c r="O78" s="26"/>
      <c r="P78" s="26"/>
      <c r="Q78" s="26"/>
      <c r="R78" s="26"/>
    </row>
    <row r="79" spans="1:20" x14ac:dyDescent="0.3">
      <c r="A79" s="60" t="s">
        <v>455</v>
      </c>
      <c r="B79" s="60" t="s">
        <v>88</v>
      </c>
      <c r="C79" s="61">
        <f>INDEX('DHHS data'!$BL$18:$CO$96,MATCH(council,'DHHS data'!$BK$18:$BK$96,0),MATCH(C$72&amp;$A79&amp;$B79,'DHHS data'!$BL$13:$CO$13,0))</f>
        <v>0</v>
      </c>
      <c r="D79" s="61">
        <f>INDEX('DHHS data'!$BL$18:$CO$96,MATCH(council,'DHHS data'!$BK$18:$BK$96,0),MATCH(D$72&amp;$A79&amp;$B79,'DHHS data'!$BL$13:$CO$13,0))</f>
        <v>0</v>
      </c>
      <c r="E79" s="61">
        <f>INDEX('DHHS data'!$BL$18:$CO$96,MATCH(council,'DHHS data'!$BK$18:$BK$96,0),MATCH(E$72&amp;$A79&amp;$B79,'DHHS data'!$BL$13:$CO$13,0))</f>
        <v>0</v>
      </c>
      <c r="M79" s="26"/>
      <c r="N79" s="26"/>
      <c r="O79" s="26"/>
      <c r="P79" s="26"/>
      <c r="Q79" s="26"/>
      <c r="R79" s="26"/>
    </row>
    <row r="80" spans="1:20" ht="16.5" customHeight="1" x14ac:dyDescent="0.3">
      <c r="A80" s="172"/>
      <c r="B80" s="172" t="s">
        <v>437</v>
      </c>
      <c r="C80" s="61">
        <v>0</v>
      </c>
      <c r="D80" s="61">
        <v>0</v>
      </c>
      <c r="E80" s="61">
        <v>0</v>
      </c>
      <c r="M80" s="26"/>
      <c r="N80" s="26"/>
      <c r="O80" s="26"/>
      <c r="P80" s="26"/>
      <c r="Q80" s="26"/>
      <c r="R80" s="26"/>
    </row>
    <row r="81" spans="1:18" ht="16.5" customHeight="1" x14ac:dyDescent="0.3"/>
    <row r="82" spans="1:18" ht="16.5" customHeight="1" x14ac:dyDescent="0.3">
      <c r="A82" s="66" t="s">
        <v>436</v>
      </c>
    </row>
    <row r="83" spans="1:18" x14ac:dyDescent="0.3">
      <c r="A83" s="59"/>
      <c r="C83" s="195" t="s">
        <v>428</v>
      </c>
      <c r="D83" s="196"/>
      <c r="E83" s="197"/>
      <c r="F83" s="26"/>
      <c r="G83" s="26"/>
      <c r="H83" s="26"/>
      <c r="I83" s="26"/>
      <c r="J83" s="26"/>
      <c r="K83" s="26"/>
      <c r="L83" s="26"/>
      <c r="M83" s="26"/>
      <c r="N83" s="26"/>
      <c r="O83" s="26"/>
      <c r="P83" s="26"/>
      <c r="Q83" s="26"/>
      <c r="R83" s="26"/>
    </row>
    <row r="84" spans="1:18" x14ac:dyDescent="0.3">
      <c r="A84" s="63" t="s">
        <v>238</v>
      </c>
      <c r="B84" s="63" t="s">
        <v>237</v>
      </c>
      <c r="C84" s="65" t="str">
        <f>C74</f>
        <v>2015-16</v>
      </c>
      <c r="D84" s="65" t="str">
        <f>D74</f>
        <v>2016-17</v>
      </c>
      <c r="E84" s="65" t="str">
        <f>E74</f>
        <v>2017-18</v>
      </c>
      <c r="F84" s="26"/>
      <c r="G84" s="26"/>
      <c r="H84" s="26"/>
      <c r="I84" s="26"/>
      <c r="J84" s="26"/>
      <c r="K84" s="26"/>
      <c r="L84" s="26"/>
      <c r="M84" s="26"/>
      <c r="N84" s="26"/>
      <c r="O84" s="26"/>
      <c r="P84" s="26"/>
      <c r="Q84" s="26"/>
      <c r="R84" s="26"/>
    </row>
    <row r="85" spans="1:18" x14ac:dyDescent="0.3">
      <c r="A85" s="60" t="s">
        <v>84</v>
      </c>
      <c r="B85" s="60" t="s">
        <v>87</v>
      </c>
      <c r="C85" s="62"/>
      <c r="D85" s="62"/>
      <c r="E85" s="62"/>
      <c r="G85" s="26"/>
      <c r="H85" s="26"/>
      <c r="I85" s="26"/>
      <c r="J85" s="26"/>
      <c r="K85" s="26"/>
      <c r="L85" s="26"/>
      <c r="M85" s="26"/>
      <c r="N85" s="26"/>
      <c r="O85" s="26"/>
      <c r="P85" s="26"/>
      <c r="Q85" s="26"/>
      <c r="R85" s="26"/>
    </row>
    <row r="86" spans="1:18" x14ac:dyDescent="0.3">
      <c r="A86" s="60" t="s">
        <v>245</v>
      </c>
      <c r="B86" s="60" t="s">
        <v>87</v>
      </c>
      <c r="C86" s="62"/>
      <c r="D86" s="62"/>
      <c r="E86" s="62"/>
      <c r="G86" s="26"/>
    </row>
    <row r="87" spans="1:18" x14ac:dyDescent="0.3">
      <c r="A87" s="60" t="s">
        <v>245</v>
      </c>
      <c r="B87" s="60" t="s">
        <v>88</v>
      </c>
      <c r="C87" s="62"/>
      <c r="D87" s="62"/>
      <c r="E87" s="62"/>
      <c r="G87" s="26"/>
    </row>
    <row r="88" spans="1:18" x14ac:dyDescent="0.3">
      <c r="A88" s="60" t="s">
        <v>85</v>
      </c>
      <c r="B88" s="60" t="s">
        <v>87</v>
      </c>
      <c r="C88" s="62"/>
      <c r="D88" s="62"/>
      <c r="E88" s="62"/>
      <c r="G88" s="26"/>
    </row>
    <row r="89" spans="1:18" x14ac:dyDescent="0.3">
      <c r="A89" s="60" t="s">
        <v>85</v>
      </c>
      <c r="B89" s="60" t="s">
        <v>88</v>
      </c>
      <c r="C89" s="62"/>
      <c r="D89" s="62"/>
      <c r="E89" s="62"/>
      <c r="G89" s="26"/>
    </row>
    <row r="90" spans="1:18" x14ac:dyDescent="0.3">
      <c r="A90" s="172"/>
      <c r="B90" s="172" t="s">
        <v>437</v>
      </c>
      <c r="C90" s="62"/>
      <c r="D90" s="62"/>
      <c r="E90" s="62"/>
      <c r="J90" s="57"/>
    </row>
    <row r="91" spans="1:18" x14ac:dyDescent="0.3">
      <c r="A91" s="94"/>
      <c r="B91" s="94"/>
      <c r="C91" s="169" t="s">
        <v>429</v>
      </c>
      <c r="D91" s="170"/>
      <c r="E91" s="171"/>
      <c r="J91" s="3"/>
    </row>
    <row r="92" spans="1:18" x14ac:dyDescent="0.3">
      <c r="A92" s="158" t="s">
        <v>238</v>
      </c>
      <c r="B92" s="158" t="s">
        <v>237</v>
      </c>
      <c r="C92" s="159" t="str">
        <f>C84</f>
        <v>2015-16</v>
      </c>
      <c r="D92" s="159" t="str">
        <f>D84</f>
        <v>2016-17</v>
      </c>
      <c r="E92" s="159" t="str">
        <f>E84</f>
        <v>2017-18</v>
      </c>
      <c r="J92" s="3"/>
    </row>
    <row r="93" spans="1:18" x14ac:dyDescent="0.3">
      <c r="A93" s="160" t="s">
        <v>84</v>
      </c>
      <c r="B93" s="160" t="s">
        <v>87</v>
      </c>
      <c r="C93" s="161">
        <f t="shared" ref="C93:E96" si="1">IF(C85="",C75,C85)</f>
        <v>0.7</v>
      </c>
      <c r="D93" s="161">
        <f t="shared" si="1"/>
        <v>0.6</v>
      </c>
      <c r="E93" s="161">
        <f t="shared" si="1"/>
        <v>0.8</v>
      </c>
      <c r="F93" s="32"/>
      <c r="G93" s="166"/>
      <c r="J93" s="3"/>
    </row>
    <row r="94" spans="1:18" x14ac:dyDescent="0.3">
      <c r="A94" s="160" t="s">
        <v>245</v>
      </c>
      <c r="B94" s="160" t="s">
        <v>87</v>
      </c>
      <c r="C94" s="161">
        <f t="shared" si="1"/>
        <v>0.4</v>
      </c>
      <c r="D94" s="161">
        <f t="shared" si="1"/>
        <v>0.2</v>
      </c>
      <c r="E94" s="161">
        <f t="shared" si="1"/>
        <v>0.4</v>
      </c>
      <c r="F94" s="32"/>
      <c r="G94" s="32"/>
    </row>
    <row r="95" spans="1:18" ht="18" customHeight="1" x14ac:dyDescent="0.3">
      <c r="A95" s="160" t="s">
        <v>245</v>
      </c>
      <c r="B95" s="160" t="s">
        <v>88</v>
      </c>
      <c r="C95" s="161">
        <f t="shared" si="1"/>
        <v>0</v>
      </c>
      <c r="D95" s="161">
        <f t="shared" si="1"/>
        <v>0</v>
      </c>
      <c r="E95" s="161">
        <f t="shared" si="1"/>
        <v>0</v>
      </c>
      <c r="F95" s="32"/>
      <c r="G95" s="32"/>
      <c r="I95" s="168"/>
      <c r="J95" s="57"/>
      <c r="K95" s="168"/>
      <c r="L95" s="168"/>
      <c r="M95" s="168"/>
      <c r="N95" s="168"/>
      <c r="O95" s="168"/>
      <c r="P95" s="168"/>
      <c r="Q95" s="168"/>
    </row>
    <row r="96" spans="1:18" x14ac:dyDescent="0.3">
      <c r="A96" s="160" t="s">
        <v>85</v>
      </c>
      <c r="B96" s="160" t="s">
        <v>87</v>
      </c>
      <c r="C96" s="161">
        <f t="shared" si="1"/>
        <v>0.2</v>
      </c>
      <c r="D96" s="161">
        <f t="shared" si="1"/>
        <v>0.2</v>
      </c>
      <c r="E96" s="161">
        <f t="shared" si="1"/>
        <v>0.2</v>
      </c>
      <c r="F96" s="32"/>
      <c r="G96" s="32"/>
      <c r="J96" s="3" t="str">
        <f>"Source: DHHS and "&amp;council2&amp;" council"</f>
        <v>Source: DHHS and Alpine council</v>
      </c>
    </row>
    <row r="97" spans="1:20" ht="20" x14ac:dyDescent="0.4">
      <c r="A97" s="54" t="s">
        <v>438</v>
      </c>
    </row>
    <row r="98" spans="1:20" x14ac:dyDescent="0.3">
      <c r="A98" s="66"/>
      <c r="B98" s="27"/>
      <c r="C98" s="27"/>
      <c r="D98" s="70" t="str">
        <f t="shared" ref="D98:Q98" si="2">D$2</f>
        <v>2018-19</v>
      </c>
      <c r="E98" s="70" t="str">
        <f t="shared" si="2"/>
        <v>2019-20</v>
      </c>
      <c r="F98" s="70" t="str">
        <f t="shared" si="2"/>
        <v>2020-21</v>
      </c>
      <c r="G98" s="70" t="str">
        <f t="shared" si="2"/>
        <v>2021-22</v>
      </c>
      <c r="H98" s="70" t="str">
        <f t="shared" si="2"/>
        <v>2022-23</v>
      </c>
      <c r="I98" s="70" t="str">
        <f t="shared" si="2"/>
        <v>2023-24</v>
      </c>
      <c r="J98" s="70" t="str">
        <f t="shared" si="2"/>
        <v>2024-25</v>
      </c>
      <c r="K98" s="70" t="str">
        <f t="shared" si="2"/>
        <v>2025-26</v>
      </c>
      <c r="L98" s="70" t="str">
        <f t="shared" si="2"/>
        <v>2026-27</v>
      </c>
      <c r="M98" s="70" t="str">
        <f t="shared" si="2"/>
        <v>2027-28</v>
      </c>
      <c r="N98" s="70" t="str">
        <f t="shared" si="2"/>
        <v>2028-29</v>
      </c>
      <c r="O98" s="70" t="str">
        <f t="shared" si="2"/>
        <v>2029-30</v>
      </c>
      <c r="P98" s="70" t="str">
        <f t="shared" si="2"/>
        <v>2030-31</v>
      </c>
      <c r="Q98" s="70" t="str">
        <f t="shared" si="2"/>
        <v>2031-32</v>
      </c>
      <c r="R98" s="26"/>
    </row>
    <row r="99" spans="1:20" x14ac:dyDescent="0.3">
      <c r="B99" s="3" t="s">
        <v>373</v>
      </c>
      <c r="D99" s="45">
        <f ca="1">SUMIFS(OFFSET('Other data'!$F:$F,0,MATCH(D$1,'Other data'!$F$7:$V$7,0)-1),'Other data'!$C:$C,council,'Other data'!$D:$D,0)</f>
        <v>84.116985831251185</v>
      </c>
      <c r="E99" s="45">
        <f ca="1">SUMIFS(OFFSET('Other data'!$F:$F,0,MATCH(E$1,'Other data'!$F$7:$V$7,0)-1),'Other data'!$C:$C,council,'Other data'!$D:$D,0)</f>
        <v>84.07478416579012</v>
      </c>
      <c r="F99" s="45">
        <f ca="1">SUMIFS(OFFSET('Other data'!$F:$F,0,MATCH(F$1,'Other data'!$F$7:$V$7,0)-1),'Other data'!$C:$C,council,'Other data'!$D:$D,0)</f>
        <v>84.060483119507595</v>
      </c>
      <c r="G99" s="45">
        <f ca="1">SUMIFS(OFFSET('Other data'!$F:$F,0,MATCH(G$1,'Other data'!$F$7:$V$7,0)-1),'Other data'!$C:$C,council,'Other data'!$D:$D,0)</f>
        <v>84.082626586849557</v>
      </c>
      <c r="H99" s="45">
        <f ca="1">SUMIFS(OFFSET('Other data'!$F:$F,0,MATCH(H$1,'Other data'!$F$7:$V$7,0)-1),'Other data'!$C:$C,council,'Other data'!$D:$D,0)</f>
        <v>84.129474347964006</v>
      </c>
      <c r="I99" s="45">
        <f ca="1">SUMIFS(OFFSET('Other data'!$F:$F,0,MATCH(I$1,'Other data'!$F$7:$V$7,0)-1),'Other data'!$C:$C,council,'Other data'!$D:$D,0)</f>
        <v>84.230210939286422</v>
      </c>
      <c r="J99" s="45">
        <f ca="1">SUMIFS(OFFSET('Other data'!$F:$F,0,MATCH(J$1,'Other data'!$F$7:$V$7,0)-1),'Other data'!$C:$C,council,'Other data'!$D:$D,0)</f>
        <v>84.334653688007435</v>
      </c>
      <c r="K99" s="45">
        <f ca="1">SUMIFS(OFFSET('Other data'!$F:$F,0,MATCH(K$1,'Other data'!$F$7:$V$7,0)-1),'Other data'!$C:$C,council,'Other data'!$D:$D,0)</f>
        <v>84.434546479108533</v>
      </c>
      <c r="L99" s="45">
        <f ca="1">SUMIFS(OFFSET('Other data'!$F:$F,0,MATCH(L$1,'Other data'!$F$7:$V$7,0)-1),'Other data'!$C:$C,council,'Other data'!$D:$D,0)</f>
        <v>84.530707001592319</v>
      </c>
      <c r="M99" s="45">
        <f ca="1">SUMIFS(OFFSET('Other data'!$F:$F,0,MATCH(M$1,'Other data'!$F$7:$V$7,0)-1),'Other data'!$C:$C,council,'Other data'!$D:$D,0)</f>
        <v>84.626859118405804</v>
      </c>
      <c r="N99" s="45">
        <f ca="1">SUMIFS(OFFSET('Other data'!$F:$F,0,MATCH(N$1,'Other data'!$F$7:$V$7,0)-1),'Other data'!$C:$C,council,'Other data'!$D:$D,0)</f>
        <v>84.730761450489865</v>
      </c>
      <c r="O99" s="45">
        <f ca="1">SUMIFS(OFFSET('Other data'!$F:$F,0,MATCH(O$1,'Other data'!$F$7:$V$7,0)-1),'Other data'!$C:$C,council,'Other data'!$D:$D,0)</f>
        <v>84.845071617319348</v>
      </c>
      <c r="P99" s="45">
        <f ca="1">SUMIFS(OFFSET('Other data'!$F:$F,0,MATCH(P$1,'Other data'!$F$7:$V$7,0)-1),'Other data'!$C:$C,council,'Other data'!$D:$D,0)</f>
        <v>84.970507989124144</v>
      </c>
      <c r="Q99" s="45">
        <f ca="1">SUMIFS(OFFSET('Other data'!$F:$F,0,MATCH(Q$1,'Other data'!$F$7:$V$7,0)-1),'Other data'!$C:$C,council,'Other data'!$D:$D,0)</f>
        <v>85.088864991974887</v>
      </c>
    </row>
    <row r="100" spans="1:20" x14ac:dyDescent="0.3">
      <c r="A100" s="58"/>
      <c r="B100" s="3" t="s">
        <v>457</v>
      </c>
    </row>
    <row r="101" spans="1:20" x14ac:dyDescent="0.3">
      <c r="S101" s="3"/>
    </row>
    <row r="102" spans="1:20" x14ac:dyDescent="0.3">
      <c r="S102" s="93"/>
      <c r="T102" s="20"/>
    </row>
    <row r="103" spans="1:20" x14ac:dyDescent="0.3">
      <c r="B103" s="4" t="s">
        <v>444</v>
      </c>
      <c r="D103" s="174"/>
      <c r="E103" s="178"/>
      <c r="F103" s="174"/>
      <c r="G103" s="178"/>
      <c r="H103" s="178"/>
      <c r="I103" s="178"/>
      <c r="J103" s="178"/>
      <c r="K103" s="178"/>
      <c r="L103" s="178"/>
      <c r="M103" s="178"/>
      <c r="N103" s="178"/>
      <c r="O103" s="178"/>
      <c r="P103" s="178"/>
      <c r="Q103" s="178"/>
      <c r="S103" s="93"/>
    </row>
    <row r="104" spans="1:20" x14ac:dyDescent="0.3">
      <c r="B104" s="3" t="s">
        <v>456</v>
      </c>
    </row>
    <row r="105" spans="1:20" ht="23" thickBot="1" x14ac:dyDescent="0.5">
      <c r="A105" s="38" t="s">
        <v>472</v>
      </c>
      <c r="B105" s="38"/>
      <c r="C105" s="38"/>
      <c r="D105" s="38"/>
      <c r="E105" s="38"/>
      <c r="F105" s="38"/>
      <c r="G105" s="38"/>
      <c r="H105" s="38"/>
      <c r="I105" s="38"/>
      <c r="J105" s="38"/>
      <c r="K105" s="38"/>
      <c r="L105" s="38"/>
      <c r="M105" s="38"/>
      <c r="N105" s="38"/>
      <c r="O105" s="38"/>
      <c r="P105" s="38"/>
      <c r="Q105" s="38"/>
      <c r="R105" s="38"/>
      <c r="S105" s="38"/>
      <c r="T105" s="38"/>
    </row>
    <row r="106" spans="1:20" ht="38.25" customHeight="1" thickTop="1" x14ac:dyDescent="0.45">
      <c r="A106" s="199" t="s">
        <v>458</v>
      </c>
      <c r="B106" s="199"/>
      <c r="C106" s="199"/>
      <c r="D106" s="199"/>
      <c r="E106" s="199"/>
      <c r="F106" s="199"/>
      <c r="G106" s="199"/>
      <c r="H106" s="199"/>
      <c r="I106" s="199"/>
      <c r="J106" s="199"/>
      <c r="K106" s="199"/>
      <c r="L106" s="155" t="s">
        <v>250</v>
      </c>
      <c r="M106" s="155"/>
      <c r="N106" s="51"/>
      <c r="O106" s="51"/>
      <c r="P106" s="36"/>
    </row>
    <row r="107" spans="1:20" x14ac:dyDescent="0.3"/>
    <row r="108" spans="1:20" ht="20" x14ac:dyDescent="0.4">
      <c r="A108" s="54" t="s">
        <v>439</v>
      </c>
      <c r="B108" s="3"/>
      <c r="I108" s="55"/>
    </row>
    <row r="109" spans="1:20" x14ac:dyDescent="0.3">
      <c r="A109" s="152"/>
      <c r="B109" s="152"/>
      <c r="C109" s="152"/>
      <c r="D109" s="152"/>
      <c r="E109" s="152"/>
      <c r="F109" s="152"/>
      <c r="G109" s="152"/>
      <c r="H109" s="152"/>
      <c r="I109" s="152"/>
      <c r="J109" s="152"/>
      <c r="K109" s="152"/>
      <c r="L109" s="152"/>
      <c r="M109" s="152"/>
      <c r="N109" s="152"/>
      <c r="O109" s="152"/>
      <c r="P109" s="152"/>
      <c r="Q109" s="152"/>
      <c r="R109" s="152"/>
      <c r="S109" s="152"/>
      <c r="T109" s="152"/>
    </row>
    <row r="110" spans="1:20" ht="18" x14ac:dyDescent="0.4">
      <c r="A110" s="55" t="str">
        <f>"Table 2.1 Current age profile of existing MCH nurses* in "&amp;baseline2</f>
        <v>Table 2.1 Current age profile of existing MCH nurses* in 2017-18</v>
      </c>
      <c r="I110" s="55"/>
      <c r="J110" s="55" t="s">
        <v>442</v>
      </c>
      <c r="K110" s="148"/>
      <c r="L110" s="148"/>
      <c r="M110" s="148"/>
      <c r="N110" s="148"/>
      <c r="O110" s="148"/>
      <c r="P110" s="148"/>
      <c r="Q110" s="148"/>
      <c r="R110" s="31"/>
      <c r="S110" s="31"/>
      <c r="T110" s="31"/>
    </row>
    <row r="111" spans="1:20" x14ac:dyDescent="0.3">
      <c r="A111" s="179" t="s">
        <v>430</v>
      </c>
      <c r="B111" s="180"/>
      <c r="C111" s="181">
        <v>1</v>
      </c>
      <c r="D111" s="181">
        <v>2</v>
      </c>
      <c r="E111" s="181">
        <v>3</v>
      </c>
      <c r="F111" s="198" t="s">
        <v>449</v>
      </c>
      <c r="G111" s="198"/>
      <c r="H111" s="198"/>
      <c r="I111" s="198"/>
    </row>
    <row r="112" spans="1:20" ht="28" x14ac:dyDescent="0.3">
      <c r="A112" s="150"/>
      <c r="B112" s="150"/>
      <c r="C112" s="150" t="s">
        <v>239</v>
      </c>
      <c r="D112" s="157" t="s">
        <v>328</v>
      </c>
      <c r="E112" s="157" t="s">
        <v>324</v>
      </c>
      <c r="L112" s="114"/>
      <c r="M112" s="114"/>
      <c r="N112" s="114"/>
      <c r="O112" s="114"/>
      <c r="P112" s="114"/>
      <c r="Q112" s="114"/>
      <c r="R112" s="114"/>
      <c r="S112" s="114"/>
      <c r="T112" s="114"/>
    </row>
    <row r="113" spans="1:20" x14ac:dyDescent="0.3">
      <c r="A113" s="75" t="s">
        <v>441</v>
      </c>
      <c r="B113" s="75"/>
      <c r="C113" s="74"/>
      <c r="D113" s="23"/>
      <c r="E113" s="23"/>
      <c r="L113" s="148"/>
      <c r="M113" s="148"/>
      <c r="N113" s="148"/>
      <c r="O113" s="148"/>
      <c r="P113" s="148"/>
      <c r="Q113" s="148"/>
      <c r="R113" s="31"/>
      <c r="S113" s="31"/>
      <c r="T113" s="31"/>
    </row>
    <row r="114" spans="1:20" x14ac:dyDescent="0.3">
      <c r="A114" s="21" t="s">
        <v>240</v>
      </c>
      <c r="C114" s="28">
        <f>C120/SUM($C$120:$C$124)</f>
        <v>0.21844660194174756</v>
      </c>
      <c r="D114" s="28">
        <f>IFERROR(D120/SUM($D$120:$D$124),"None")</f>
        <v>0.5</v>
      </c>
      <c r="E114" s="175" t="str">
        <f>IFERROR(E120/SUM($E$120:$E$124),"")</f>
        <v/>
      </c>
      <c r="L114" s="148"/>
      <c r="M114" s="148"/>
      <c r="N114" s="148"/>
      <c r="O114" s="148"/>
      <c r="P114" s="148"/>
      <c r="Q114" s="148"/>
      <c r="R114" s="31"/>
      <c r="S114" s="31"/>
      <c r="T114" s="31"/>
    </row>
    <row r="115" spans="1:20" x14ac:dyDescent="0.3">
      <c r="A115" s="21" t="s">
        <v>241</v>
      </c>
      <c r="C115" s="28">
        <f>C121/SUM($C$120:$C$124)</f>
        <v>0.14077669902912621</v>
      </c>
      <c r="D115" s="28">
        <f>IFERROR(D121/SUM($D$120:$D$124),"None")</f>
        <v>0.5</v>
      </c>
      <c r="E115" s="175" t="str">
        <f>IFERROR(E121/SUM($E$120:$E$124),"")</f>
        <v/>
      </c>
      <c r="L115" s="148"/>
      <c r="M115" s="148"/>
      <c r="N115" s="148"/>
      <c r="O115" s="148"/>
      <c r="P115" s="148"/>
      <c r="Q115" s="148"/>
      <c r="R115" s="31"/>
      <c r="S115" s="31"/>
      <c r="T115" s="31"/>
    </row>
    <row r="116" spans="1:20" x14ac:dyDescent="0.3">
      <c r="A116" s="21" t="s">
        <v>242</v>
      </c>
      <c r="C116" s="28">
        <f>C122/SUM($C$120:$C$124)</f>
        <v>0.20776699029126214</v>
      </c>
      <c r="D116" s="28">
        <f>IFERROR(D122/SUM($D$120:$D$124),"None")</f>
        <v>0</v>
      </c>
      <c r="E116" s="175" t="str">
        <f>IFERROR(E122/SUM($E$120:$E$124),"")</f>
        <v/>
      </c>
      <c r="L116" s="148"/>
      <c r="M116" s="148"/>
      <c r="N116" s="148"/>
      <c r="O116" s="148"/>
      <c r="P116" s="148"/>
      <c r="Q116" s="148"/>
      <c r="R116" s="31"/>
      <c r="S116" s="31"/>
      <c r="T116" s="31"/>
    </row>
    <row r="117" spans="1:20" x14ac:dyDescent="0.3">
      <c r="A117" s="21" t="s">
        <v>243</v>
      </c>
      <c r="C117" s="28">
        <f>C123/SUM($C$120:$C$124)</f>
        <v>0.21067961165048543</v>
      </c>
      <c r="D117" s="28">
        <f>IFERROR(D123/SUM($D$120:$D$124),"None")</f>
        <v>0</v>
      </c>
      <c r="E117" s="175" t="str">
        <f>IFERROR(E123/SUM($E$120:$E$124),"")</f>
        <v/>
      </c>
      <c r="L117" s="148"/>
      <c r="M117" s="148"/>
      <c r="N117" s="148"/>
      <c r="O117" s="148"/>
      <c r="P117" s="148"/>
      <c r="Q117" s="148"/>
      <c r="R117" s="31"/>
      <c r="S117" s="31"/>
      <c r="T117" s="31"/>
    </row>
    <row r="118" spans="1:20" x14ac:dyDescent="0.3">
      <c r="A118" s="21" t="s">
        <v>244</v>
      </c>
      <c r="C118" s="28">
        <f>C124/SUM($C$120:$C$124)</f>
        <v>0.22233009708737864</v>
      </c>
      <c r="D118" s="28">
        <f>IFERROR(D124/SUM($D$120:$D$124),"None")</f>
        <v>0</v>
      </c>
      <c r="E118" s="175" t="str">
        <f>IFERROR(E124/SUM($E$120:$E$124),"")</f>
        <v/>
      </c>
      <c r="L118" s="148"/>
      <c r="M118" s="148"/>
      <c r="N118" s="148"/>
      <c r="O118" s="148"/>
      <c r="P118" s="148"/>
      <c r="Q118" s="148"/>
      <c r="R118" s="31"/>
      <c r="S118" s="31"/>
      <c r="T118" s="31"/>
    </row>
    <row r="119" spans="1:20" x14ac:dyDescent="0.3">
      <c r="A119" s="75" t="s">
        <v>325</v>
      </c>
      <c r="B119" s="75"/>
      <c r="C119" s="22"/>
      <c r="D119" s="23"/>
      <c r="E119" s="23"/>
      <c r="L119" s="148"/>
      <c r="M119" s="148"/>
      <c r="N119" s="148"/>
      <c r="O119" s="148"/>
      <c r="P119" s="148"/>
      <c r="Q119" s="148"/>
      <c r="R119" s="31"/>
      <c r="S119" s="31"/>
      <c r="T119" s="31"/>
    </row>
    <row r="120" spans="1:20" x14ac:dyDescent="0.3">
      <c r="A120" s="21" t="s">
        <v>240</v>
      </c>
      <c r="C120" s="45">
        <f>SUMIFS('DHHS data'!$AC$95:$BF$95,'DHHS data'!$AC$11:$BF$11,baseline&amp;$A120)</f>
        <v>225</v>
      </c>
      <c r="D120" s="42">
        <f>INDEX('DHHS data'!$AC$15:$BF$93,MATCH(council,'DHHS data'!$AB$15:$AB$93,0),MATCH(baseline&amp;$A120,'DHHS data'!$AC$11:$BF$11,0))</f>
        <v>1</v>
      </c>
      <c r="E120" s="174"/>
      <c r="L120" s="148"/>
      <c r="M120" s="148"/>
      <c r="N120" s="148"/>
      <c r="O120" s="148"/>
      <c r="P120" s="148"/>
      <c r="Q120" s="148"/>
      <c r="R120" s="31"/>
      <c r="S120" s="31"/>
      <c r="T120" s="31"/>
    </row>
    <row r="121" spans="1:20" x14ac:dyDescent="0.3">
      <c r="A121" s="21" t="s">
        <v>241</v>
      </c>
      <c r="C121" s="45">
        <f>SUMIFS('DHHS data'!$AC$95:$BF$95,'DHHS data'!$AC$11:$BF$11,baseline&amp;$A121)</f>
        <v>145</v>
      </c>
      <c r="D121" s="42">
        <f>INDEX('DHHS data'!$AC$15:$BF$93,MATCH(council,'DHHS data'!$AB$15:$AB$93,0),MATCH(baseline&amp;$A121,'DHHS data'!$AC$11:$BF$11,0))</f>
        <v>1</v>
      </c>
      <c r="E121" s="178"/>
      <c r="L121" s="148"/>
      <c r="M121" s="148"/>
      <c r="N121" s="148"/>
      <c r="O121" s="148"/>
      <c r="P121" s="148"/>
      <c r="Q121" s="148"/>
      <c r="R121" s="31"/>
      <c r="S121" s="31"/>
      <c r="T121" s="31"/>
    </row>
    <row r="122" spans="1:20" x14ac:dyDescent="0.3">
      <c r="A122" s="21" t="s">
        <v>242</v>
      </c>
      <c r="C122" s="45">
        <f>SUMIFS('DHHS data'!$AC$95:$BF$95,'DHHS data'!$AC$11:$BF$11,baseline&amp;$A122)</f>
        <v>214</v>
      </c>
      <c r="D122" s="42">
        <f>INDEX('DHHS data'!$AC$15:$BF$93,MATCH(council,'DHHS data'!$AB$15:$AB$93,0),MATCH(baseline&amp;$A122,'DHHS data'!$AC$11:$BF$11,0))</f>
        <v>0</v>
      </c>
      <c r="E122" s="178"/>
      <c r="L122" s="148"/>
      <c r="M122" s="148"/>
      <c r="N122" s="148"/>
      <c r="O122" s="148"/>
      <c r="P122" s="148"/>
      <c r="Q122" s="148"/>
      <c r="R122" s="31"/>
      <c r="S122" s="31"/>
      <c r="T122" s="31"/>
    </row>
    <row r="123" spans="1:20" x14ac:dyDescent="0.3">
      <c r="A123" s="21" t="s">
        <v>243</v>
      </c>
      <c r="C123" s="45">
        <f>SUMIFS('DHHS data'!$AC$95:$BF$95,'DHHS data'!$AC$11:$BF$11,baseline&amp;$A123)</f>
        <v>217</v>
      </c>
      <c r="D123" s="42">
        <f>INDEX('DHHS data'!$AC$15:$BF$93,MATCH(council,'DHHS data'!$AB$15:$AB$93,0),MATCH(baseline&amp;$A123,'DHHS data'!$AC$11:$BF$11,0))</f>
        <v>0</v>
      </c>
      <c r="E123" s="178"/>
      <c r="L123" s="148"/>
      <c r="M123" s="148"/>
      <c r="N123" s="148"/>
      <c r="O123" s="148"/>
      <c r="P123" s="148"/>
      <c r="Q123" s="148"/>
      <c r="R123" s="31"/>
      <c r="S123" s="31"/>
      <c r="T123" s="31"/>
    </row>
    <row r="124" spans="1:20" x14ac:dyDescent="0.3">
      <c r="A124" s="21" t="s">
        <v>244</v>
      </c>
      <c r="C124" s="45">
        <f>SUMIFS('DHHS data'!$AC$95:$BF$95,'DHHS data'!$AC$11:$BF$11,baseline&amp;$A124)</f>
        <v>229</v>
      </c>
      <c r="D124" s="42">
        <f>INDEX('DHHS data'!$AC$15:$BF$93,MATCH(council,'DHHS data'!$AB$15:$AB$93,0),MATCH(baseline&amp;$A124,'DHHS data'!$AC$11:$BF$11,0))</f>
        <v>0</v>
      </c>
      <c r="E124" s="178"/>
      <c r="L124" s="148"/>
      <c r="M124" s="148"/>
      <c r="N124" s="148"/>
      <c r="O124" s="148"/>
      <c r="P124" s="148"/>
      <c r="Q124" s="148"/>
      <c r="R124" s="31"/>
      <c r="S124" s="31"/>
      <c r="T124" s="31"/>
    </row>
    <row r="125" spans="1:20" x14ac:dyDescent="0.3">
      <c r="C125" s="29" t="s">
        <v>459</v>
      </c>
      <c r="D125" s="29" t="s">
        <v>460</v>
      </c>
      <c r="E125" s="29" t="s">
        <v>461</v>
      </c>
      <c r="H125" s="31"/>
      <c r="K125" s="31"/>
      <c r="L125" s="148"/>
      <c r="M125" s="148"/>
      <c r="N125" s="148"/>
      <c r="O125" s="148"/>
      <c r="P125" s="148"/>
      <c r="Q125" s="148"/>
      <c r="R125" s="31"/>
      <c r="S125" s="31"/>
      <c r="T125" s="31"/>
    </row>
    <row r="126" spans="1:20" x14ac:dyDescent="0.3">
      <c r="A126" s="3" t="s">
        <v>450</v>
      </c>
      <c r="B126" s="148"/>
      <c r="C126" s="148"/>
      <c r="D126" s="148"/>
      <c r="E126" s="148"/>
      <c r="F126" s="148"/>
      <c r="G126" s="31"/>
      <c r="H126" s="31"/>
      <c r="I126" s="31"/>
      <c r="J126" s="148"/>
      <c r="K126" s="148"/>
      <c r="L126" s="148"/>
      <c r="M126" s="148"/>
      <c r="N126" s="148"/>
      <c r="O126" s="148"/>
      <c r="P126" s="148"/>
      <c r="Q126" s="148"/>
      <c r="R126" s="31"/>
      <c r="S126" s="31"/>
      <c r="T126" s="31"/>
    </row>
    <row r="127" spans="1:20" x14ac:dyDescent="0.3">
      <c r="A127" s="3" t="s">
        <v>288</v>
      </c>
      <c r="B127" s="163"/>
      <c r="C127" s="163"/>
      <c r="D127" s="163"/>
      <c r="E127" s="163"/>
      <c r="F127" s="163"/>
      <c r="G127" s="31"/>
      <c r="H127" s="31"/>
      <c r="I127" s="3"/>
      <c r="J127" s="3" t="str">
        <f>"Source: DHHS and "&amp;council2&amp;" council"</f>
        <v>Source: DHHS and Alpine council</v>
      </c>
      <c r="K127" s="163"/>
      <c r="L127" s="163"/>
      <c r="M127" s="163"/>
      <c r="N127" s="163"/>
      <c r="O127" s="163"/>
      <c r="P127" s="163"/>
      <c r="Q127" s="163"/>
      <c r="R127" s="31"/>
      <c r="S127" s="31"/>
      <c r="T127" s="31"/>
    </row>
    <row r="128" spans="1:20" x14ac:dyDescent="0.3">
      <c r="A128" s="148"/>
      <c r="B128" s="148"/>
      <c r="C128" s="148"/>
      <c r="D128" s="148"/>
      <c r="E128" s="148"/>
      <c r="F128" s="148"/>
      <c r="G128" s="31"/>
      <c r="H128" s="31"/>
      <c r="I128" s="3"/>
      <c r="J128" s="148"/>
      <c r="K128" s="148"/>
      <c r="L128" s="148"/>
      <c r="M128" s="148"/>
      <c r="N128" s="148"/>
      <c r="O128" s="148"/>
      <c r="P128" s="148"/>
      <c r="Q128" s="148"/>
      <c r="R128" s="31"/>
      <c r="S128" s="31"/>
      <c r="T128" s="31"/>
    </row>
    <row r="129" spans="1:20" ht="18" x14ac:dyDescent="0.4">
      <c r="A129" s="4"/>
      <c r="H129" s="31"/>
      <c r="I129" s="55"/>
      <c r="J129" s="148"/>
      <c r="K129" s="148"/>
      <c r="L129" s="148"/>
      <c r="M129" s="148"/>
      <c r="N129" s="148"/>
      <c r="O129" s="148"/>
      <c r="P129" s="148"/>
      <c r="Q129" s="148"/>
      <c r="R129" s="31"/>
      <c r="S129" s="31"/>
      <c r="T129" s="31"/>
    </row>
    <row r="130" spans="1:20" x14ac:dyDescent="0.3">
      <c r="A130" s="4" t="s">
        <v>427</v>
      </c>
    </row>
    <row r="131" spans="1:20" x14ac:dyDescent="0.3">
      <c r="A131" s="201" t="s">
        <v>327</v>
      </c>
      <c r="B131" s="202"/>
      <c r="C131" s="189" t="s">
        <v>379</v>
      </c>
      <c r="D131" s="204"/>
      <c r="E131" s="204"/>
      <c r="F131" s="190"/>
    </row>
    <row r="132" spans="1:20" x14ac:dyDescent="0.3">
      <c r="A132" s="148"/>
      <c r="B132" s="148"/>
      <c r="C132" s="148"/>
      <c r="D132" s="148"/>
      <c r="E132" s="148"/>
      <c r="F132" s="148"/>
      <c r="G132" s="31"/>
      <c r="H132" s="31"/>
      <c r="I132" s="31"/>
      <c r="J132" s="148"/>
      <c r="K132" s="148"/>
      <c r="L132" s="148"/>
      <c r="M132" s="148"/>
      <c r="N132" s="148"/>
      <c r="O132" s="148"/>
      <c r="P132" s="148"/>
      <c r="Q132" s="148"/>
      <c r="R132" s="31"/>
      <c r="S132" s="31"/>
      <c r="T132" s="31"/>
    </row>
    <row r="133" spans="1:20" ht="20" x14ac:dyDescent="0.4">
      <c r="A133" s="54" t="s">
        <v>443</v>
      </c>
      <c r="B133" s="3"/>
      <c r="D133" s="16"/>
      <c r="E133" s="16"/>
      <c r="F133" s="16"/>
      <c r="G133" s="16"/>
      <c r="H133" s="16"/>
      <c r="I133" s="16"/>
      <c r="J133" s="16"/>
      <c r="K133" s="16"/>
      <c r="L133" s="16"/>
      <c r="M133" s="16"/>
      <c r="N133" s="16"/>
      <c r="O133" s="16"/>
      <c r="P133" s="16"/>
      <c r="Q133" s="16"/>
    </row>
    <row r="134" spans="1:20" x14ac:dyDescent="0.3">
      <c r="A134" s="66"/>
      <c r="R134" s="27"/>
    </row>
    <row r="135" spans="1:20" x14ac:dyDescent="0.3">
      <c r="D135" s="70" t="str">
        <f t="shared" ref="D135:Q135" si="3">D$2</f>
        <v>2018-19</v>
      </c>
      <c r="E135" s="70" t="str">
        <f t="shared" si="3"/>
        <v>2019-20</v>
      </c>
      <c r="F135" s="70" t="str">
        <f t="shared" si="3"/>
        <v>2020-21</v>
      </c>
      <c r="G135" s="70" t="str">
        <f t="shared" si="3"/>
        <v>2021-22</v>
      </c>
      <c r="H135" s="70" t="str">
        <f t="shared" si="3"/>
        <v>2022-23</v>
      </c>
      <c r="I135" s="70" t="str">
        <f t="shared" si="3"/>
        <v>2023-24</v>
      </c>
      <c r="J135" s="70" t="str">
        <f t="shared" si="3"/>
        <v>2024-25</v>
      </c>
      <c r="K135" s="70" t="str">
        <f t="shared" si="3"/>
        <v>2025-26</v>
      </c>
      <c r="L135" s="70" t="str">
        <f t="shared" si="3"/>
        <v>2026-27</v>
      </c>
      <c r="M135" s="70" t="str">
        <f t="shared" si="3"/>
        <v>2027-28</v>
      </c>
      <c r="N135" s="70" t="str">
        <f t="shared" si="3"/>
        <v>2028-29</v>
      </c>
      <c r="O135" s="70" t="str">
        <f t="shared" si="3"/>
        <v>2029-30</v>
      </c>
      <c r="P135" s="70" t="str">
        <f t="shared" si="3"/>
        <v>2030-31</v>
      </c>
      <c r="Q135" s="70" t="str">
        <f t="shared" si="3"/>
        <v>2031-32</v>
      </c>
    </row>
    <row r="136" spans="1:20" x14ac:dyDescent="0.3">
      <c r="B136" s="3" t="s">
        <v>462</v>
      </c>
      <c r="D136" s="13">
        <f t="array" aca="1" ref="D136:Q136" ca="1">CALCS!D164:Q164</f>
        <v>1.2000000000000002</v>
      </c>
      <c r="E136" s="13">
        <f ca="1"/>
        <v>1.2000000000000002</v>
      </c>
      <c r="F136" s="13">
        <f ca="1"/>
        <v>1.2000000000000002</v>
      </c>
      <c r="G136" s="13">
        <f ca="1"/>
        <v>1.2000000000000002</v>
      </c>
      <c r="H136" s="13">
        <f ca="1"/>
        <v>1.2000000000000002</v>
      </c>
      <c r="I136" s="13">
        <f ca="1"/>
        <v>1.2000000000000002</v>
      </c>
      <c r="J136" s="13">
        <f ca="1"/>
        <v>1.2000000000000002</v>
      </c>
      <c r="K136" s="13">
        <f ca="1"/>
        <v>1.2000000000000002</v>
      </c>
      <c r="L136" s="13">
        <f ca="1"/>
        <v>1.2000000000000002</v>
      </c>
      <c r="M136" s="13">
        <f ca="1"/>
        <v>1.2000000000000002</v>
      </c>
      <c r="N136" s="13">
        <f ca="1"/>
        <v>1.2000000000000002</v>
      </c>
      <c r="O136" s="13">
        <f ca="1"/>
        <v>1.2000000000000002</v>
      </c>
      <c r="P136" s="13">
        <f ca="1"/>
        <v>1.2000000000000002</v>
      </c>
      <c r="Q136" s="13">
        <f ca="1"/>
        <v>1.2000000000000002</v>
      </c>
    </row>
    <row r="137" spans="1:20" x14ac:dyDescent="0.3">
      <c r="A137" s="58"/>
      <c r="B137" s="3" t="s">
        <v>471</v>
      </c>
    </row>
    <row r="138" spans="1:20" x14ac:dyDescent="0.3"/>
    <row r="139" spans="1:20" x14ac:dyDescent="0.3"/>
    <row r="140" spans="1:20" x14ac:dyDescent="0.3"/>
    <row r="141" spans="1:20" x14ac:dyDescent="0.3"/>
    <row r="142" spans="1:20" x14ac:dyDescent="0.3">
      <c r="B142" s="4" t="s">
        <v>313</v>
      </c>
      <c r="D142" s="62"/>
      <c r="E142" s="62"/>
      <c r="F142" s="62"/>
      <c r="G142" s="177"/>
      <c r="H142" s="177"/>
      <c r="I142" s="177"/>
      <c r="J142" s="177"/>
      <c r="K142" s="177"/>
      <c r="L142" s="177"/>
      <c r="M142" s="177"/>
      <c r="N142" s="177"/>
      <c r="O142" s="177"/>
      <c r="P142" s="177"/>
      <c r="Q142" s="177"/>
    </row>
    <row r="143" spans="1:20" x14ac:dyDescent="0.3">
      <c r="B143" s="3" t="s">
        <v>384</v>
      </c>
    </row>
    <row r="144" spans="1:20" x14ac:dyDescent="0.3">
      <c r="B144" s="3"/>
    </row>
    <row r="145" spans="1:20" ht="23" thickBot="1" x14ac:dyDescent="0.5">
      <c r="A145" s="38" t="str">
        <f>"4. MODEL OUTPUTS FOR "&amp;UPPER(council2)&amp;" AND SELECT NEIGHBOURING COUNCILS"</f>
        <v>4. MODEL OUTPUTS FOR ALPINE AND SELECT NEIGHBOURING COUNCILS</v>
      </c>
      <c r="B145" s="25"/>
      <c r="C145" s="25"/>
      <c r="D145" s="25"/>
      <c r="E145" s="25"/>
      <c r="F145" s="25"/>
      <c r="G145" s="25"/>
      <c r="H145" s="25"/>
      <c r="I145" s="25"/>
      <c r="J145" s="25"/>
      <c r="K145" s="25"/>
      <c r="L145" s="25"/>
      <c r="M145" s="25"/>
      <c r="N145" s="25"/>
      <c r="O145" s="25"/>
      <c r="P145" s="25"/>
      <c r="Q145" s="25"/>
      <c r="R145" s="25"/>
      <c r="S145" s="25"/>
      <c r="T145" s="25"/>
    </row>
    <row r="146" spans="1:20" ht="14.5" thickTop="1" x14ac:dyDescent="0.3">
      <c r="A146" s="3" t="s">
        <v>290</v>
      </c>
    </row>
    <row r="147" spans="1:20" x14ac:dyDescent="0.3"/>
    <row r="148" spans="1:20" ht="20" x14ac:dyDescent="0.4">
      <c r="A148" s="54" t="str">
        <f>"A. OUTPUTS FOR "&amp;UPPER(council2)</f>
        <v>A. OUTPUTS FOR ALPINE</v>
      </c>
    </row>
    <row r="149" spans="1:20" x14ac:dyDescent="0.3"/>
    <row r="150" spans="1:20" ht="20" x14ac:dyDescent="0.4">
      <c r="A150" s="67" t="s">
        <v>451</v>
      </c>
      <c r="I150" s="67" t="s">
        <v>329</v>
      </c>
      <c r="J150" s="67"/>
    </row>
    <row r="151" spans="1:20" x14ac:dyDescent="0.3"/>
    <row r="152" spans="1:20" x14ac:dyDescent="0.3"/>
    <row r="153" spans="1:20" x14ac:dyDescent="0.3"/>
    <row r="154" spans="1:20" x14ac:dyDescent="0.3"/>
    <row r="155" spans="1:20" x14ac:dyDescent="0.3"/>
    <row r="156" spans="1:20" x14ac:dyDescent="0.3"/>
    <row r="157" spans="1:20" x14ac:dyDescent="0.3"/>
    <row r="158" spans="1:20" x14ac:dyDescent="0.3"/>
    <row r="159" spans="1:20" x14ac:dyDescent="0.3"/>
    <row r="160" spans="1:20" x14ac:dyDescent="0.3"/>
    <row r="161" spans="1:20" x14ac:dyDescent="0.3"/>
    <row r="162" spans="1:20" x14ac:dyDescent="0.3"/>
    <row r="163" spans="1:20" x14ac:dyDescent="0.3"/>
    <row r="164" spans="1:20" x14ac:dyDescent="0.3"/>
    <row r="165" spans="1:20" x14ac:dyDescent="0.3"/>
    <row r="166" spans="1:20" x14ac:dyDescent="0.3"/>
    <row r="167" spans="1:20" x14ac:dyDescent="0.3">
      <c r="A167" s="3" t="s">
        <v>289</v>
      </c>
      <c r="I167" s="3" t="s">
        <v>289</v>
      </c>
    </row>
    <row r="168" spans="1:20" ht="20" x14ac:dyDescent="0.4">
      <c r="A168" s="67" t="str">
        <f>"Figure 4.3 Projected workforce gap for "&amp;council2</f>
        <v>Figure 4.3 Projected workforce gap for Alpine</v>
      </c>
      <c r="E168" s="4"/>
      <c r="I168" s="4"/>
    </row>
    <row r="169" spans="1:20" x14ac:dyDescent="0.3"/>
    <row r="170" spans="1:20" x14ac:dyDescent="0.3"/>
    <row r="171" spans="1:20" x14ac:dyDescent="0.3"/>
    <row r="172" spans="1:20" x14ac:dyDescent="0.3">
      <c r="S172" s="14"/>
      <c r="T172" s="14"/>
    </row>
    <row r="173" spans="1:20" x14ac:dyDescent="0.3"/>
    <row r="174" spans="1:20" x14ac:dyDescent="0.3"/>
    <row r="175" spans="1:20" x14ac:dyDescent="0.3"/>
    <row r="176" spans="1:20" x14ac:dyDescent="0.3"/>
    <row r="177" spans="1:3" x14ac:dyDescent="0.3"/>
    <row r="178" spans="1:3" x14ac:dyDescent="0.3"/>
    <row r="179" spans="1:3" x14ac:dyDescent="0.3"/>
    <row r="180" spans="1:3" x14ac:dyDescent="0.3"/>
    <row r="181" spans="1:3" x14ac:dyDescent="0.3"/>
    <row r="182" spans="1:3" x14ac:dyDescent="0.3"/>
    <row r="183" spans="1:3" x14ac:dyDescent="0.3">
      <c r="C183" s="4"/>
    </row>
    <row r="184" spans="1:3" x14ac:dyDescent="0.3"/>
    <row r="185" spans="1:3" x14ac:dyDescent="0.3"/>
    <row r="186" spans="1:3" x14ac:dyDescent="0.3">
      <c r="A186" s="3" t="s">
        <v>289</v>
      </c>
    </row>
    <row r="187" spans="1:3" x14ac:dyDescent="0.3"/>
    <row r="188" spans="1:3" ht="20" x14ac:dyDescent="0.4">
      <c r="A188" s="54" t="s">
        <v>447</v>
      </c>
    </row>
    <row r="189" spans="1:3" x14ac:dyDescent="0.3">
      <c r="A189" s="66"/>
    </row>
    <row r="190" spans="1:3" x14ac:dyDescent="0.3"/>
    <row r="191" spans="1:3" x14ac:dyDescent="0.3">
      <c r="A191" s="4"/>
    </row>
    <row r="192" spans="1:3" x14ac:dyDescent="0.3"/>
    <row r="193" spans="1:13" x14ac:dyDescent="0.3">
      <c r="B193" s="73" t="s">
        <v>445</v>
      </c>
      <c r="D193" s="188" t="s">
        <v>446</v>
      </c>
      <c r="E193" s="188"/>
      <c r="H193" s="188" t="s">
        <v>473</v>
      </c>
      <c r="I193" s="188"/>
      <c r="J193" s="188"/>
    </row>
    <row r="194" spans="1:13" x14ac:dyDescent="0.3">
      <c r="A194" s="29">
        <v>1</v>
      </c>
      <c r="B194" s="175" t="str">
        <f ca="1">IF('Chart Data'!J31="Select any council","",'Chart Data'!J31)</f>
        <v>East Gippsland (S)</v>
      </c>
      <c r="C194" s="29" t="str">
        <f ca="1">IFERROR(INDEX(Mapping!$X:$X,MATCH(B194,Mapping!$W:$W,0)),"")</f>
        <v>East Gippsland</v>
      </c>
      <c r="D194" s="189"/>
      <c r="E194" s="190"/>
      <c r="F194" s="29" t="str">
        <f>IFERROR(INDEX(Mapping!$X:$X,MATCH(D194,Mapping!$W:$W,0)),"")</f>
        <v/>
      </c>
      <c r="G194" s="32"/>
      <c r="H194" s="191" t="str">
        <f t="shared" ref="H194:H199" ca="1" si="4">IF(D194="",B194,D194)</f>
        <v>East Gippsland (S)</v>
      </c>
      <c r="I194" s="191"/>
      <c r="J194" s="191"/>
      <c r="K194" s="29" t="str">
        <f t="shared" ref="K194:K199" ca="1" si="5">IF(F194="",C194,F194)</f>
        <v>East Gippsland</v>
      </c>
    </row>
    <row r="195" spans="1:13" x14ac:dyDescent="0.3">
      <c r="A195" s="29">
        <f>A194+1</f>
        <v>2</v>
      </c>
      <c r="B195" s="175" t="str">
        <f ca="1">IF('Chart Data'!J32="Select any council","",'Chart Data'!J32)</f>
        <v>Indigo (S)</v>
      </c>
      <c r="C195" s="29" t="str">
        <f ca="1">IFERROR(INDEX(Mapping!$X:$X,MATCH(B195,Mapping!$W:$W,0)),"")</f>
        <v>Indigo</v>
      </c>
      <c r="D195" s="189"/>
      <c r="E195" s="190"/>
      <c r="F195" s="29" t="str">
        <f>IFERROR(INDEX(Mapping!$X:$X,MATCH(D195,Mapping!$W:$W,0)),"")</f>
        <v/>
      </c>
      <c r="G195" s="32"/>
      <c r="H195" s="191" t="str">
        <f t="shared" ca="1" si="4"/>
        <v>Indigo (S)</v>
      </c>
      <c r="I195" s="191"/>
      <c r="J195" s="191"/>
      <c r="K195" s="29" t="str">
        <f t="shared" ca="1" si="5"/>
        <v>Indigo</v>
      </c>
    </row>
    <row r="196" spans="1:13" x14ac:dyDescent="0.3">
      <c r="A196" s="29">
        <f>A195+1</f>
        <v>3</v>
      </c>
      <c r="B196" s="175" t="str">
        <f ca="1">IF('Chart Data'!J33="Select any council","",'Chart Data'!J33)</f>
        <v>Towong (S)</v>
      </c>
      <c r="C196" s="29" t="str">
        <f ca="1">IFERROR(INDEX(Mapping!$X:$X,MATCH(B196,Mapping!$W:$W,0)),"")</f>
        <v>Towong</v>
      </c>
      <c r="D196" s="189"/>
      <c r="E196" s="190"/>
      <c r="F196" s="29" t="str">
        <f>IFERROR(INDEX(Mapping!$X:$X,MATCH(D196,Mapping!$W:$W,0)),"")</f>
        <v/>
      </c>
      <c r="G196" s="32"/>
      <c r="H196" s="191" t="str">
        <f t="shared" ca="1" si="4"/>
        <v>Towong (S)</v>
      </c>
      <c r="I196" s="191"/>
      <c r="J196" s="191"/>
      <c r="K196" s="29" t="str">
        <f t="shared" ca="1" si="5"/>
        <v>Towong</v>
      </c>
    </row>
    <row r="197" spans="1:13" x14ac:dyDescent="0.3">
      <c r="A197" s="29">
        <f>A196+1</f>
        <v>4</v>
      </c>
      <c r="B197" s="175" t="str">
        <f ca="1">IF('Chart Data'!J34="Select any council","",'Chart Data'!J34)</f>
        <v>Wangaratta (RC)</v>
      </c>
      <c r="C197" s="29" t="str">
        <f ca="1">IFERROR(INDEX(Mapping!$X:$X,MATCH(B197,Mapping!$W:$W,0)),"")</f>
        <v>Wangaratta</v>
      </c>
      <c r="D197" s="189"/>
      <c r="E197" s="190"/>
      <c r="F197" s="29" t="str">
        <f>IFERROR(INDEX(Mapping!$X:$X,MATCH(D197,Mapping!$W:$W,0)),"")</f>
        <v/>
      </c>
      <c r="G197" s="32"/>
      <c r="H197" s="191" t="str">
        <f t="shared" ca="1" si="4"/>
        <v>Wangaratta (RC)</v>
      </c>
      <c r="I197" s="191"/>
      <c r="J197" s="191"/>
      <c r="K197" s="29" t="str">
        <f t="shared" ca="1" si="5"/>
        <v>Wangaratta</v>
      </c>
    </row>
    <row r="198" spans="1:13" x14ac:dyDescent="0.3">
      <c r="A198" s="29">
        <f>A197+1</f>
        <v>5</v>
      </c>
      <c r="B198" s="175" t="str">
        <f>IF('Chart Data'!J35="Select any council","",'Chart Data'!J35)</f>
        <v/>
      </c>
      <c r="C198" s="29" t="str">
        <f>IFERROR(INDEX(Mapping!$X:$X,MATCH(B198,Mapping!$W:$W,0)),"")</f>
        <v/>
      </c>
      <c r="D198" s="189"/>
      <c r="E198" s="190"/>
      <c r="F198" s="29" t="str">
        <f>IFERROR(INDEX(Mapping!$X:$X,MATCH(D198,Mapping!$W:$W,0)),"")</f>
        <v/>
      </c>
      <c r="G198" s="32"/>
      <c r="H198" s="191" t="str">
        <f t="shared" si="4"/>
        <v/>
      </c>
      <c r="I198" s="191"/>
      <c r="J198" s="191"/>
      <c r="K198" s="29" t="str">
        <f t="shared" si="5"/>
        <v/>
      </c>
    </row>
    <row r="199" spans="1:13" x14ac:dyDescent="0.3">
      <c r="A199" s="29">
        <f>A198+1</f>
        <v>6</v>
      </c>
      <c r="B199" s="175" t="str">
        <f>IF('Chart Data'!J36="Select any council","",'Chart Data'!J36)</f>
        <v/>
      </c>
      <c r="C199" s="29" t="str">
        <f>IFERROR(INDEX(Mapping!$X:$X,MATCH(B199,Mapping!$W:$W,0)),"")</f>
        <v/>
      </c>
      <c r="D199" s="189"/>
      <c r="E199" s="190"/>
      <c r="F199" s="29" t="str">
        <f>IFERROR(INDEX(Mapping!$X:$X,MATCH(D199,Mapping!$W:$W,0)),"")</f>
        <v/>
      </c>
      <c r="G199" s="32"/>
      <c r="H199" s="191" t="str">
        <f t="shared" si="4"/>
        <v/>
      </c>
      <c r="I199" s="191"/>
      <c r="J199" s="191"/>
      <c r="K199" s="29" t="str">
        <f t="shared" si="5"/>
        <v/>
      </c>
    </row>
    <row r="200" spans="1:13" x14ac:dyDescent="0.3"/>
    <row r="201" spans="1:13" ht="20" x14ac:dyDescent="0.4">
      <c r="A201" s="67" t="s">
        <v>448</v>
      </c>
      <c r="E201" s="3" t="str">
        <f ca="1">IF(E202="","Please select a council in the orange cells above.","")</f>
        <v/>
      </c>
      <c r="M201" s="3" t="str">
        <f ca="1">IF(M202="","Please select a council in the orange cells above.","")</f>
        <v/>
      </c>
    </row>
    <row r="202" spans="1:13" x14ac:dyDescent="0.3">
      <c r="A202" s="4" t="str">
        <f ca="1">K194</f>
        <v>East Gippsland</v>
      </c>
      <c r="E202" s="4" t="str">
        <f ca="1">K195</f>
        <v>Indigo</v>
      </c>
      <c r="M202" s="4" t="str">
        <f ca="1">K196</f>
        <v>Towong</v>
      </c>
    </row>
    <row r="203" spans="1:13" x14ac:dyDescent="0.3"/>
    <row r="204" spans="1:13" x14ac:dyDescent="0.3"/>
    <row r="205" spans="1:13" x14ac:dyDescent="0.3"/>
    <row r="206" spans="1:13" x14ac:dyDescent="0.3"/>
    <row r="207" spans="1:13" x14ac:dyDescent="0.3"/>
    <row r="208" spans="1:13" x14ac:dyDescent="0.3"/>
    <row r="209" spans="1:13" x14ac:dyDescent="0.3"/>
    <row r="210" spans="1:13" x14ac:dyDescent="0.3"/>
    <row r="211" spans="1:13" x14ac:dyDescent="0.3"/>
    <row r="212" spans="1:13" x14ac:dyDescent="0.3"/>
    <row r="213" spans="1:13" x14ac:dyDescent="0.3"/>
    <row r="214" spans="1:13" x14ac:dyDescent="0.3"/>
    <row r="215" spans="1:13" x14ac:dyDescent="0.3">
      <c r="A215" s="3" t="str">
        <f ca="1">IF(A216="","Please select a council in the orange cells above.","")</f>
        <v/>
      </c>
      <c r="F215" s="3" t="str">
        <f>IF(F216="","Please select a council in the orange cells above.","")</f>
        <v>Please select a council in the orange cells above.</v>
      </c>
      <c r="M215" s="3" t="str">
        <f>IF(M216="","Please select a council in the orange cells above.","")</f>
        <v>Please select a council in the orange cells above.</v>
      </c>
    </row>
    <row r="216" spans="1:13" x14ac:dyDescent="0.3">
      <c r="A216" s="4" t="str">
        <f ca="1">K197</f>
        <v>Wangaratta</v>
      </c>
      <c r="F216" s="4" t="str">
        <f>$K$198</f>
        <v/>
      </c>
      <c r="M216" s="4" t="str">
        <f>$K$199</f>
        <v/>
      </c>
    </row>
    <row r="217" spans="1:13" x14ac:dyDescent="0.3"/>
    <row r="218" spans="1:13" x14ac:dyDescent="0.3"/>
    <row r="219" spans="1:13" x14ac:dyDescent="0.3"/>
    <row r="220" spans="1:13" x14ac:dyDescent="0.3"/>
    <row r="221" spans="1:13" x14ac:dyDescent="0.3"/>
    <row r="222" spans="1:13" x14ac:dyDescent="0.3"/>
    <row r="223" spans="1:13" x14ac:dyDescent="0.3"/>
    <row r="224" spans="1:13" x14ac:dyDescent="0.3"/>
    <row r="225" spans="1:17" x14ac:dyDescent="0.3"/>
    <row r="226" spans="1:17" x14ac:dyDescent="0.3"/>
    <row r="227" spans="1:17" x14ac:dyDescent="0.3"/>
    <row r="228" spans="1:17" x14ac:dyDescent="0.3">
      <c r="A228" s="3" t="s">
        <v>289</v>
      </c>
    </row>
    <row r="229" spans="1:17" ht="20" x14ac:dyDescent="0.4">
      <c r="A229" s="54" t="s">
        <v>309</v>
      </c>
    </row>
    <row r="230" spans="1:17" x14ac:dyDescent="0.3"/>
    <row r="231" spans="1:17" x14ac:dyDescent="0.3"/>
    <row r="232" spans="1:17" ht="20" x14ac:dyDescent="0.4">
      <c r="A232" s="32"/>
      <c r="B232" s="67" t="str">
        <f>"Table 4.1 Summary of overall projected MCH workforce requirements in "&amp;council2</f>
        <v>Table 4.1 Summary of overall projected MCH workforce requirements in Alpine</v>
      </c>
    </row>
    <row r="233" spans="1:17" x14ac:dyDescent="0.3">
      <c r="A233" s="32"/>
      <c r="B233" s="12"/>
      <c r="C233" s="19"/>
      <c r="D233" s="39" t="str">
        <f t="shared" ref="D233:Q233" si="6">D2</f>
        <v>2018-19</v>
      </c>
      <c r="E233" s="39" t="str">
        <f t="shared" si="6"/>
        <v>2019-20</v>
      </c>
      <c r="F233" s="39" t="str">
        <f t="shared" si="6"/>
        <v>2020-21</v>
      </c>
      <c r="G233" s="39" t="str">
        <f t="shared" si="6"/>
        <v>2021-22</v>
      </c>
      <c r="H233" s="39" t="str">
        <f t="shared" si="6"/>
        <v>2022-23</v>
      </c>
      <c r="I233" s="39" t="str">
        <f t="shared" si="6"/>
        <v>2023-24</v>
      </c>
      <c r="J233" s="39" t="str">
        <f t="shared" si="6"/>
        <v>2024-25</v>
      </c>
      <c r="K233" s="39" t="str">
        <f t="shared" si="6"/>
        <v>2025-26</v>
      </c>
      <c r="L233" s="39" t="str">
        <f t="shared" si="6"/>
        <v>2026-27</v>
      </c>
      <c r="M233" s="39" t="str">
        <f t="shared" si="6"/>
        <v>2027-28</v>
      </c>
      <c r="N233" s="39" t="str">
        <f t="shared" si="6"/>
        <v>2028-29</v>
      </c>
      <c r="O233" s="39" t="str">
        <f t="shared" si="6"/>
        <v>2029-30</v>
      </c>
      <c r="P233" s="39" t="str">
        <f t="shared" si="6"/>
        <v>2030-31</v>
      </c>
      <c r="Q233" s="39" t="str">
        <f t="shared" si="6"/>
        <v>2031-32</v>
      </c>
    </row>
    <row r="234" spans="1:17" x14ac:dyDescent="0.3">
      <c r="A234" s="32"/>
      <c r="B234" s="4" t="s">
        <v>236</v>
      </c>
      <c r="C234" s="13"/>
      <c r="D234" s="40">
        <f ca="1">SUM(D235:D237)</f>
        <v>1.1072052738051026</v>
      </c>
      <c r="E234" s="40">
        <f t="shared" ref="E234:Q234" ca="1" si="7">SUM(E235:E237)</f>
        <v>1.4360100119382886</v>
      </c>
      <c r="F234" s="40">
        <f t="shared" ca="1" si="7"/>
        <v>1.6361725784545718</v>
      </c>
      <c r="G234" s="40">
        <f t="shared" ca="1" si="7"/>
        <v>1.6331140772535546</v>
      </c>
      <c r="H234" s="40">
        <f t="shared" ca="1" si="7"/>
        <v>1.628814234123372</v>
      </c>
      <c r="I234" s="40">
        <f t="shared" ca="1" si="7"/>
        <v>1.6334328411326227</v>
      </c>
      <c r="J234" s="40">
        <f t="shared" ca="1" si="7"/>
        <v>1.6345259881975656</v>
      </c>
      <c r="K234" s="40">
        <f t="shared" ca="1" si="7"/>
        <v>1.6361144481402619</v>
      </c>
      <c r="L234" s="40">
        <f t="shared" ca="1" si="7"/>
        <v>1.6378751660143116</v>
      </c>
      <c r="M234" s="40">
        <f t="shared" ca="1" si="7"/>
        <v>1.639714753422856</v>
      </c>
      <c r="N234" s="40">
        <f t="shared" ca="1" si="7"/>
        <v>1.6416235284286687</v>
      </c>
      <c r="O234" s="40">
        <f t="shared" ca="1" si="7"/>
        <v>1.6435936949720746</v>
      </c>
      <c r="P234" s="40">
        <f t="shared" ca="1" si="7"/>
        <v>1.6456877737592672</v>
      </c>
      <c r="Q234" s="40">
        <f t="shared" ca="1" si="7"/>
        <v>1.6479128214881786</v>
      </c>
    </row>
    <row r="235" spans="1:17" x14ac:dyDescent="0.3">
      <c r="A235" s="32"/>
      <c r="B235" s="21" t="s">
        <v>195</v>
      </c>
      <c r="C235" s="16"/>
      <c r="D235" s="176">
        <f ca="1">SUM(CALCS!D$220:D$225)*CALCS!D$239</f>
        <v>0.62648428054845351</v>
      </c>
      <c r="E235" s="176">
        <f ca="1">SUM(CALCS!E$220:E$225)*CALCS!E$239</f>
        <v>0.60605502889336849</v>
      </c>
      <c r="F235" s="176">
        <f ca="1">SUM(CALCS!F$220:F$225)*CALCS!F$239</f>
        <v>0.59484459411540636</v>
      </c>
      <c r="G235" s="176">
        <f ca="1">SUM(CALCS!G$220:G$225)*CALCS!G$239</f>
        <v>0.592941198345318</v>
      </c>
      <c r="H235" s="176">
        <f ca="1">SUM(CALCS!H$220:H$225)*CALCS!H$239</f>
        <v>0.58999799808724496</v>
      </c>
      <c r="I235" s="176">
        <f ca="1">SUM(CALCS!I$220:I$225)*CALCS!I$239</f>
        <v>0.59291926026481834</v>
      </c>
      <c r="J235" s="176">
        <f ca="1">SUM(CALCS!J$220:J$225)*CALCS!J$239</f>
        <v>0.59320631259190681</v>
      </c>
      <c r="K235" s="176">
        <f ca="1">SUM(CALCS!K$220:K$225)*CALCS!K$239</f>
        <v>0.5936552854997158</v>
      </c>
      <c r="L235" s="176">
        <f ca="1">SUM(CALCS!L$220:L$225)*CALCS!L$239</f>
        <v>0.59422410269242443</v>
      </c>
      <c r="M235" s="176">
        <f ca="1">SUM(CALCS!M$220:M$225)*CALCS!M$239</f>
        <v>0.59487177195704755</v>
      </c>
      <c r="N235" s="176">
        <f ca="1">SUM(CALCS!N$220:N$225)*CALCS!N$239</f>
        <v>0.59557767546641971</v>
      </c>
      <c r="O235" s="176">
        <f ca="1">SUM(CALCS!O$220:O$225)*CALCS!O$239</f>
        <v>0.5963011568435681</v>
      </c>
      <c r="P235" s="176">
        <f ca="1">SUM(CALCS!P$220:P$225)*CALCS!P$239</f>
        <v>0.59705295771510714</v>
      </c>
      <c r="Q235" s="176">
        <f ca="1">SUM(CALCS!Q$220:Q$225)*CALCS!Q$239</f>
        <v>0.59782761173216048</v>
      </c>
    </row>
    <row r="236" spans="1:17" x14ac:dyDescent="0.3">
      <c r="A236" s="32"/>
      <c r="B236" s="21" t="s">
        <v>197</v>
      </c>
      <c r="C236" s="16"/>
      <c r="D236" s="176">
        <f ca="1">SUM(CALCS!D$227:D$232)*CALCS!D$239</f>
        <v>0.48072099325664919</v>
      </c>
      <c r="E236" s="176">
        <f ca="1">SUM(CALCS!E$227:E$232)*CALCS!E$239</f>
        <v>0.82995498304492021</v>
      </c>
      <c r="F236" s="176">
        <f ca="1">SUM(CALCS!F$227:F$232)*CALCS!F$239</f>
        <v>1.0413279843391654</v>
      </c>
      <c r="G236" s="176">
        <f ca="1">SUM(CALCS!G$227:G$232)*CALCS!G$239</f>
        <v>1.0401728789082367</v>
      </c>
      <c r="H236" s="176">
        <f ca="1">SUM(CALCS!H$227:H$232)*CALCS!H$239</f>
        <v>1.038816236036127</v>
      </c>
      <c r="I236" s="176">
        <f ca="1">SUM(CALCS!I$227:I$232)*CALCS!I$239</f>
        <v>1.0405135808678043</v>
      </c>
      <c r="J236" s="176">
        <f ca="1">SUM(CALCS!J$227:J$232)*CALCS!J$239</f>
        <v>1.0413196756056586</v>
      </c>
      <c r="K236" s="176">
        <f ca="1">SUM(CALCS!K$227:K$232)*CALCS!K$239</f>
        <v>1.0424591626405459</v>
      </c>
      <c r="L236" s="176">
        <f ca="1">SUM(CALCS!L$227:L$232)*CALCS!L$239</f>
        <v>1.0436510633218872</v>
      </c>
      <c r="M236" s="176">
        <f ca="1">SUM(CALCS!M$227:M$232)*CALCS!M$239</f>
        <v>1.0448429814658085</v>
      </c>
      <c r="N236" s="176">
        <f ca="1">SUM(CALCS!N$227:N$232)*CALCS!N$239</f>
        <v>1.0460458529622489</v>
      </c>
      <c r="O236" s="176">
        <f ca="1">SUM(CALCS!O$227:O$232)*CALCS!O$239</f>
        <v>1.0472925381285065</v>
      </c>
      <c r="P236" s="176">
        <f ca="1">SUM(CALCS!P$227:P$232)*CALCS!P$239</f>
        <v>1.0486348160441601</v>
      </c>
      <c r="Q236" s="176">
        <f ca="1">SUM(CALCS!Q$227:Q$232)*CALCS!Q$239</f>
        <v>1.050085209756018</v>
      </c>
    </row>
    <row r="237" spans="1:17" x14ac:dyDescent="0.3">
      <c r="A237" s="32"/>
      <c r="B237" s="21" t="s">
        <v>196</v>
      </c>
      <c r="C237" s="16"/>
      <c r="D237" s="176">
        <f ca="1">CALCS!D$234*CALCS!D$239</f>
        <v>0</v>
      </c>
      <c r="E237" s="176">
        <f ca="1">CALCS!E$234*CALCS!E$239</f>
        <v>0</v>
      </c>
      <c r="F237" s="176">
        <f ca="1">CALCS!F$234*CALCS!F$239</f>
        <v>0</v>
      </c>
      <c r="G237" s="176">
        <f ca="1">CALCS!G$234*CALCS!G$239</f>
        <v>0</v>
      </c>
      <c r="H237" s="176">
        <f ca="1">CALCS!H$234*CALCS!H$239</f>
        <v>0</v>
      </c>
      <c r="I237" s="176">
        <f ca="1">CALCS!I$234*CALCS!I$239</f>
        <v>0</v>
      </c>
      <c r="J237" s="176">
        <f ca="1">CALCS!J$234*CALCS!J$239</f>
        <v>0</v>
      </c>
      <c r="K237" s="176">
        <f ca="1">CALCS!K$234*CALCS!K$239</f>
        <v>0</v>
      </c>
      <c r="L237" s="176">
        <f ca="1">CALCS!L$234*CALCS!L$239</f>
        <v>0</v>
      </c>
      <c r="M237" s="176">
        <f ca="1">CALCS!M$234*CALCS!M$239</f>
        <v>0</v>
      </c>
      <c r="N237" s="176">
        <f ca="1">CALCS!N$234*CALCS!N$239</f>
        <v>0</v>
      </c>
      <c r="O237" s="176">
        <f ca="1">CALCS!O$234*CALCS!O$239</f>
        <v>0</v>
      </c>
      <c r="P237" s="176">
        <f ca="1">CALCS!P$234*CALCS!P$239</f>
        <v>0</v>
      </c>
      <c r="Q237" s="176">
        <f ca="1">CALCS!Q$234*CALCS!Q$239</f>
        <v>0</v>
      </c>
    </row>
    <row r="238" spans="1:17" x14ac:dyDescent="0.3">
      <c r="A238" s="32"/>
      <c r="B238" s="4" t="s">
        <v>203</v>
      </c>
      <c r="C238" s="13"/>
      <c r="D238" s="40">
        <f ca="1">CALCS!D$168</f>
        <v>1.2000000000000002</v>
      </c>
      <c r="E238" s="40">
        <f ca="1">CALCS!E$168</f>
        <v>1.2000000000000002</v>
      </c>
      <c r="F238" s="40">
        <f ca="1">CALCS!F$168</f>
        <v>1.2000000000000002</v>
      </c>
      <c r="G238" s="40">
        <f ca="1">CALCS!G$168</f>
        <v>1.2000000000000002</v>
      </c>
      <c r="H238" s="40">
        <f ca="1">CALCS!H$168</f>
        <v>1.2000000000000002</v>
      </c>
      <c r="I238" s="40">
        <f ca="1">CALCS!I$168</f>
        <v>1.2000000000000002</v>
      </c>
      <c r="J238" s="40">
        <f ca="1">CALCS!J$168</f>
        <v>1.2000000000000002</v>
      </c>
      <c r="K238" s="40">
        <f ca="1">CALCS!K$168</f>
        <v>1.2000000000000002</v>
      </c>
      <c r="L238" s="40">
        <f ca="1">CALCS!L$168</f>
        <v>1.2000000000000002</v>
      </c>
      <c r="M238" s="40">
        <f ca="1">CALCS!M$168</f>
        <v>1.2000000000000002</v>
      </c>
      <c r="N238" s="40">
        <f ca="1">CALCS!N$168</f>
        <v>1.2000000000000002</v>
      </c>
      <c r="O238" s="40">
        <f ca="1">CALCS!O$168</f>
        <v>1.2000000000000002</v>
      </c>
      <c r="P238" s="40">
        <f ca="1">CALCS!P$168</f>
        <v>1.2000000000000002</v>
      </c>
      <c r="Q238" s="40">
        <f ca="1">CALCS!Q$168</f>
        <v>1.2000000000000002</v>
      </c>
    </row>
    <row r="239" spans="1:17" x14ac:dyDescent="0.3">
      <c r="A239" s="32"/>
      <c r="B239" s="4" t="s">
        <v>235</v>
      </c>
      <c r="C239" s="13"/>
      <c r="D239" s="40">
        <f t="shared" ref="D239:Q239" ca="1" si="8">D238-D234</f>
        <v>9.2794726194897592E-2</v>
      </c>
      <c r="E239" s="40">
        <f t="shared" ca="1" si="8"/>
        <v>-0.23601001193828841</v>
      </c>
      <c r="F239" s="40">
        <f t="shared" ca="1" si="8"/>
        <v>-0.43617257845457158</v>
      </c>
      <c r="G239" s="40">
        <f t="shared" ca="1" si="8"/>
        <v>-0.43311407725355444</v>
      </c>
      <c r="H239" s="40">
        <f t="shared" ca="1" si="8"/>
        <v>-0.42881423412337183</v>
      </c>
      <c r="I239" s="40">
        <f t="shared" ca="1" si="8"/>
        <v>-0.43343284113262248</v>
      </c>
      <c r="J239" s="40">
        <f t="shared" ca="1" si="8"/>
        <v>-0.43452598819756538</v>
      </c>
      <c r="K239" s="40">
        <f t="shared" ca="1" si="8"/>
        <v>-0.43611444814026168</v>
      </c>
      <c r="L239" s="40">
        <f t="shared" ca="1" si="8"/>
        <v>-0.43787516601431142</v>
      </c>
      <c r="M239" s="40">
        <f t="shared" ca="1" si="8"/>
        <v>-0.43971475342285582</v>
      </c>
      <c r="N239" s="40">
        <f t="shared" ca="1" si="8"/>
        <v>-0.44162352842866848</v>
      </c>
      <c r="O239" s="40">
        <f t="shared" ca="1" si="8"/>
        <v>-0.44359369497207446</v>
      </c>
      <c r="P239" s="40">
        <f t="shared" ca="1" si="8"/>
        <v>-0.44568777375926705</v>
      </c>
      <c r="Q239" s="40">
        <f t="shared" ca="1" si="8"/>
        <v>-0.44791282148817846</v>
      </c>
    </row>
    <row r="240" spans="1:17" x14ac:dyDescent="0.3">
      <c r="A240" s="32"/>
      <c r="B240" s="3" t="s">
        <v>289</v>
      </c>
    </row>
    <row r="241" spans="1:17" x14ac:dyDescent="0.3"/>
    <row r="242" spans="1:17" x14ac:dyDescent="0.3">
      <c r="A242" s="32"/>
      <c r="B242" s="3"/>
    </row>
    <row r="243" spans="1:17" ht="20" x14ac:dyDescent="0.4">
      <c r="A243" s="29"/>
      <c r="B243" s="67" t="s">
        <v>452</v>
      </c>
    </row>
    <row r="244" spans="1:17" x14ac:dyDescent="0.3">
      <c r="A244" s="29"/>
      <c r="B244" s="12"/>
      <c r="C244" s="19"/>
      <c r="D244" s="39" t="str">
        <f t="shared" ref="D244:Q244" si="9">D$2</f>
        <v>2018-19</v>
      </c>
      <c r="E244" s="39" t="str">
        <f t="shared" si="9"/>
        <v>2019-20</v>
      </c>
      <c r="F244" s="39" t="str">
        <f t="shared" si="9"/>
        <v>2020-21</v>
      </c>
      <c r="G244" s="39" t="str">
        <f t="shared" si="9"/>
        <v>2021-22</v>
      </c>
      <c r="H244" s="39" t="str">
        <f t="shared" si="9"/>
        <v>2022-23</v>
      </c>
      <c r="I244" s="39" t="str">
        <f t="shared" si="9"/>
        <v>2023-24</v>
      </c>
      <c r="J244" s="39" t="str">
        <f t="shared" si="9"/>
        <v>2024-25</v>
      </c>
      <c r="K244" s="39" t="str">
        <f t="shared" si="9"/>
        <v>2025-26</v>
      </c>
      <c r="L244" s="39" t="str">
        <f t="shared" si="9"/>
        <v>2026-27</v>
      </c>
      <c r="M244" s="39" t="str">
        <f t="shared" si="9"/>
        <v>2027-28</v>
      </c>
      <c r="N244" s="39" t="str">
        <f t="shared" si="9"/>
        <v>2028-29</v>
      </c>
      <c r="O244" s="39" t="str">
        <f t="shared" si="9"/>
        <v>2029-30</v>
      </c>
      <c r="P244" s="39" t="str">
        <f t="shared" si="9"/>
        <v>2030-31</v>
      </c>
      <c r="Q244" s="39" t="str">
        <f t="shared" si="9"/>
        <v>2031-32</v>
      </c>
    </row>
    <row r="245" spans="1:17" x14ac:dyDescent="0.3">
      <c r="A245" s="29"/>
      <c r="B245" s="193" t="str">
        <f ca="1">IF(6-COUNTA($B$194:$B$199)=6,"NO NEIGHBOURING COuNCILS SELECTED","")</f>
        <v/>
      </c>
      <c r="C245" s="193"/>
      <c r="D245" s="193"/>
      <c r="E245" s="193"/>
      <c r="F245" s="193"/>
      <c r="G245" s="193"/>
      <c r="H245" s="193"/>
      <c r="I245" s="193"/>
      <c r="J245" s="193"/>
      <c r="K245" s="193"/>
      <c r="L245" s="193"/>
      <c r="M245" s="193"/>
      <c r="N245" s="193"/>
      <c r="O245" s="193"/>
      <c r="P245" s="193"/>
      <c r="Q245" s="193"/>
    </row>
    <row r="246" spans="1:17" ht="15.5" x14ac:dyDescent="0.35">
      <c r="A246" s="29"/>
      <c r="B246" s="192" t="str">
        <f ca="1">$K$194</f>
        <v>East Gippsland</v>
      </c>
      <c r="C246" s="192"/>
      <c r="D246" s="192"/>
      <c r="E246" s="192"/>
      <c r="F246" s="192"/>
      <c r="G246" s="192"/>
      <c r="H246" s="192"/>
      <c r="I246" s="192"/>
      <c r="J246" s="192"/>
      <c r="K246" s="192"/>
      <c r="L246" s="192"/>
      <c r="M246" s="192"/>
      <c r="N246" s="192"/>
      <c r="O246" s="192"/>
      <c r="P246" s="192"/>
      <c r="Q246" s="192"/>
    </row>
    <row r="247" spans="1:17" x14ac:dyDescent="0.3">
      <c r="A247" s="29" t="str">
        <f ca="1">$H$194</f>
        <v>East Gippsland (S)</v>
      </c>
      <c r="B247" t="str">
        <f ca="1">IF(A247="","","Workforce demand")</f>
        <v>Workforce demand</v>
      </c>
      <c r="C247" s="13"/>
      <c r="D247" s="41">
        <f ca="1">IF($A247="","",INDEX(CONSOLIDATED!$H$88:$V$166,MATCH($A247,CONSOLIDATED!$A$88:$A$166,0),MATCH(D$244,CONSOLIDATED!$H$2:$V$2,0)))</f>
        <v>6.2526727742320718</v>
      </c>
      <c r="E247" s="41">
        <f ca="1">IF($A247="","",INDEX(CONSOLIDATED!$H$88:$V$166,MATCH($A247,CONSOLIDATED!$A$88:$A$166,0),MATCH(E$244,CONSOLIDATED!$H$2:$V$2,0)))</f>
        <v>6.8970965415960448</v>
      </c>
      <c r="F247" s="41">
        <f ca="1">IF($A247="","",INDEX(CONSOLIDATED!$H$88:$V$166,MATCH($A247,CONSOLIDATED!$A$88:$A$166,0),MATCH(F$244,CONSOLIDATED!$H$2:$V$2,0)))</f>
        <v>7.4530859049501057</v>
      </c>
      <c r="G247" s="41">
        <f ca="1">IF($A247="","",INDEX(CONSOLIDATED!$H$88:$V$166,MATCH($A247,CONSOLIDATED!$A$88:$A$166,0),MATCH(G$244,CONSOLIDATED!$H$2:$V$2,0)))</f>
        <v>7.6298725011447139</v>
      </c>
      <c r="H247" s="41">
        <f ca="1">IF($A247="","",INDEX(CONSOLIDATED!$H$88:$V$166,MATCH($A247,CONSOLIDATED!$A$88:$A$166,0),MATCH(H$244,CONSOLIDATED!$H$2:$V$2,0)))</f>
        <v>7.8034311753631798</v>
      </c>
      <c r="I247" s="41">
        <f ca="1">IF($A247="","",INDEX(CONSOLIDATED!$H$88:$V$166,MATCH($A247,CONSOLIDATED!$A$88:$A$166,0),MATCH(I$244,CONSOLIDATED!$H$2:$V$2,0)))</f>
        <v>7.9692675556208705</v>
      </c>
      <c r="J247" s="41">
        <f ca="1">IF($A247="","",INDEX(CONSOLIDATED!$H$88:$V$166,MATCH($A247,CONSOLIDATED!$A$88:$A$166,0),MATCH(J$244,CONSOLIDATED!$H$2:$V$2,0)))</f>
        <v>8.0585564228926518</v>
      </c>
      <c r="K247" s="41">
        <f ca="1">IF($A247="","",INDEX(CONSOLIDATED!$H$88:$V$166,MATCH($A247,CONSOLIDATED!$A$88:$A$166,0),MATCH(K$244,CONSOLIDATED!$H$2:$V$2,0)))</f>
        <v>8.1463639302045454</v>
      </c>
      <c r="L247" s="41">
        <f ca="1">IF($A247="","",INDEX(CONSOLIDATED!$H$88:$V$166,MATCH($A247,CONSOLIDATED!$A$88:$A$166,0),MATCH(L$244,CONSOLIDATED!$H$2:$V$2,0)))</f>
        <v>8.2329709115896534</v>
      </c>
      <c r="M247" s="41">
        <f ca="1">IF($A247="","",INDEX(CONSOLIDATED!$H$88:$V$166,MATCH($A247,CONSOLIDATED!$A$88:$A$166,0),MATCH(M$244,CONSOLIDATED!$H$2:$V$2,0)))</f>
        <v>8.3181765356731585</v>
      </c>
      <c r="N247" s="41">
        <f ca="1">IF($A247="","",INDEX(CONSOLIDATED!$H$88:$V$166,MATCH($A247,CONSOLIDATED!$A$88:$A$166,0),MATCH(N$244,CONSOLIDATED!$H$2:$V$2,0)))</f>
        <v>8.4028380367103175</v>
      </c>
      <c r="O247" s="41">
        <f ca="1">IF($A247="","",INDEX(CONSOLIDATED!$H$88:$V$166,MATCH($A247,CONSOLIDATED!$A$88:$A$166,0),MATCH(O$244,CONSOLIDATED!$H$2:$V$2,0)))</f>
        <v>8.4873454480405695</v>
      </c>
      <c r="P247" s="41">
        <f ca="1">IF($A247="","",INDEX(CONSOLIDATED!$H$88:$V$166,MATCH($A247,CONSOLIDATED!$A$88:$A$166,0),MATCH(P$244,CONSOLIDATED!$H$2:$V$2,0)))</f>
        <v>8.5720222385135116</v>
      </c>
      <c r="Q247" s="41">
        <f ca="1">IF($A247="","",INDEX(CONSOLIDATED!$H$88:$V$166,MATCH($A247,CONSOLIDATED!$A$88:$A$166,0),MATCH(Q$244,CONSOLIDATED!$H$2:$V$2,0)))</f>
        <v>8.6568090683150718</v>
      </c>
    </row>
    <row r="248" spans="1:17" x14ac:dyDescent="0.3">
      <c r="A248" s="29" t="str">
        <f ca="1">$H$194</f>
        <v>East Gippsland (S)</v>
      </c>
      <c r="B248" t="str">
        <f ca="1">IF($A248="","","Workforce supply")</f>
        <v>Workforce supply</v>
      </c>
      <c r="C248" s="13"/>
      <c r="D248" s="41">
        <f ca="1">IF($A248="","",INDEX(CONSOLIDATED!$H$6:$V$84,MATCH($A248,CONSOLIDATED!$A$6:$A$84,0),MATCH(D$244,CONSOLIDATED!$H$2:$V$2,0)))</f>
        <v>6.2</v>
      </c>
      <c r="E248" s="41">
        <f ca="1">IF($A248="","",INDEX(CONSOLIDATED!$H$6:$V$84,MATCH($A248,CONSOLIDATED!$A$6:$A$84,0),MATCH(E$244,CONSOLIDATED!$H$2:$V$2,0)))</f>
        <v>6.2</v>
      </c>
      <c r="F248" s="41">
        <f ca="1">IF($A248="","",INDEX(CONSOLIDATED!$H$6:$V$84,MATCH($A248,CONSOLIDATED!$A$6:$A$84,0),MATCH(F$244,CONSOLIDATED!$H$2:$V$2,0)))</f>
        <v>6.2</v>
      </c>
      <c r="G248" s="41">
        <f ca="1">IF($A248="","",INDEX(CONSOLIDATED!$H$6:$V$84,MATCH($A248,CONSOLIDATED!$A$6:$A$84,0),MATCH(G$244,CONSOLIDATED!$H$2:$V$2,0)))</f>
        <v>6.2</v>
      </c>
      <c r="H248" s="41">
        <f ca="1">IF($A248="","",INDEX(CONSOLIDATED!$H$6:$V$84,MATCH($A248,CONSOLIDATED!$A$6:$A$84,0),MATCH(H$244,CONSOLIDATED!$H$2:$V$2,0)))</f>
        <v>6.2</v>
      </c>
      <c r="I248" s="41">
        <f ca="1">IF($A248="","",INDEX(CONSOLIDATED!$H$6:$V$84,MATCH($A248,CONSOLIDATED!$A$6:$A$84,0),MATCH(I$244,CONSOLIDATED!$H$2:$V$2,0)))</f>
        <v>6.2</v>
      </c>
      <c r="J248" s="41">
        <f ca="1">IF($A248="","",INDEX(CONSOLIDATED!$H$6:$V$84,MATCH($A248,CONSOLIDATED!$A$6:$A$84,0),MATCH(J$244,CONSOLIDATED!$H$2:$V$2,0)))</f>
        <v>6.2</v>
      </c>
      <c r="K248" s="41">
        <f ca="1">IF($A248="","",INDEX(CONSOLIDATED!$H$6:$V$84,MATCH($A248,CONSOLIDATED!$A$6:$A$84,0),MATCH(K$244,CONSOLIDATED!$H$2:$V$2,0)))</f>
        <v>6.2</v>
      </c>
      <c r="L248" s="41">
        <f ca="1">IF($A248="","",INDEX(CONSOLIDATED!$H$6:$V$84,MATCH($A248,CONSOLIDATED!$A$6:$A$84,0),MATCH(L$244,CONSOLIDATED!$H$2:$V$2,0)))</f>
        <v>6.2</v>
      </c>
      <c r="M248" s="41">
        <f ca="1">IF($A248="","",INDEX(CONSOLIDATED!$H$6:$V$84,MATCH($A248,CONSOLIDATED!$A$6:$A$84,0),MATCH(M$244,CONSOLIDATED!$H$2:$V$2,0)))</f>
        <v>6.2</v>
      </c>
      <c r="N248" s="41">
        <f ca="1">IF($A248="","",INDEX(CONSOLIDATED!$H$6:$V$84,MATCH($A248,CONSOLIDATED!$A$6:$A$84,0),MATCH(N$244,CONSOLIDATED!$H$2:$V$2,0)))</f>
        <v>6.2</v>
      </c>
      <c r="O248" s="41">
        <f ca="1">IF($A248="","",INDEX(CONSOLIDATED!$H$6:$V$84,MATCH($A248,CONSOLIDATED!$A$6:$A$84,0),MATCH(O$244,CONSOLIDATED!$H$2:$V$2,0)))</f>
        <v>6.2</v>
      </c>
      <c r="P248" s="41">
        <f ca="1">IF($A248="","",INDEX(CONSOLIDATED!$H$6:$V$84,MATCH($A248,CONSOLIDATED!$A$6:$A$84,0),MATCH(P$244,CONSOLIDATED!$H$2:$V$2,0)))</f>
        <v>6.2</v>
      </c>
      <c r="Q248" s="41">
        <f ca="1">IF($A248="","",INDEX(CONSOLIDATED!$H$6:$V$84,MATCH($A248,CONSOLIDATED!$A$6:$A$84,0),MATCH(Q$244,CONSOLIDATED!$H$2:$V$2,0)))</f>
        <v>6.2</v>
      </c>
    </row>
    <row r="249" spans="1:17" x14ac:dyDescent="0.3">
      <c r="A249" s="29"/>
      <c r="B249" s="149" t="str">
        <f ca="1">IF(B246="","","Gap (Supply less Demand)")</f>
        <v>Gap (Supply less Demand)</v>
      </c>
      <c r="C249" s="13"/>
      <c r="D249" s="41">
        <f t="shared" ref="D249:Q249" ca="1" si="10">IFERROR(D248-D247,"")</f>
        <v>-5.2672774232071617E-2</v>
      </c>
      <c r="E249" s="41">
        <f t="shared" ca="1" si="10"/>
        <v>-0.69709654159604462</v>
      </c>
      <c r="F249" s="41">
        <f t="shared" ca="1" si="10"/>
        <v>-1.2530859049501055</v>
      </c>
      <c r="G249" s="41">
        <f t="shared" ca="1" si="10"/>
        <v>-1.4298725011447138</v>
      </c>
      <c r="H249" s="41">
        <f t="shared" ca="1" si="10"/>
        <v>-1.6034311753631796</v>
      </c>
      <c r="I249" s="41">
        <f t="shared" ca="1" si="10"/>
        <v>-1.7692675556208703</v>
      </c>
      <c r="J249" s="41">
        <f t="shared" ca="1" si="10"/>
        <v>-1.8585564228926517</v>
      </c>
      <c r="K249" s="41">
        <f t="shared" ca="1" si="10"/>
        <v>-1.9463639302045452</v>
      </c>
      <c r="L249" s="41">
        <f t="shared" ca="1" si="10"/>
        <v>-2.0329709115896533</v>
      </c>
      <c r="M249" s="41">
        <f t="shared" ca="1" si="10"/>
        <v>-2.1181765356731583</v>
      </c>
      <c r="N249" s="41">
        <f t="shared" ca="1" si="10"/>
        <v>-2.2028380367103173</v>
      </c>
      <c r="O249" s="41">
        <f t="shared" ca="1" si="10"/>
        <v>-2.2873454480405693</v>
      </c>
      <c r="P249" s="41">
        <f t="shared" ca="1" si="10"/>
        <v>-2.3720222385135115</v>
      </c>
      <c r="Q249" s="41">
        <f t="shared" ca="1" si="10"/>
        <v>-2.4568090683150716</v>
      </c>
    </row>
    <row r="250" spans="1:17" ht="15.5" x14ac:dyDescent="0.35">
      <c r="A250" s="29"/>
      <c r="B250" s="192" t="str">
        <f ca="1">$K$195</f>
        <v>Indigo</v>
      </c>
      <c r="C250" s="192"/>
      <c r="D250" s="192"/>
      <c r="E250" s="192"/>
      <c r="F250" s="192"/>
      <c r="G250" s="192"/>
      <c r="H250" s="192"/>
      <c r="I250" s="192"/>
      <c r="J250" s="192"/>
      <c r="K250" s="192"/>
      <c r="L250" s="192"/>
      <c r="M250" s="192"/>
      <c r="N250" s="192"/>
      <c r="O250" s="192"/>
      <c r="P250" s="192"/>
      <c r="Q250" s="192"/>
    </row>
    <row r="251" spans="1:17" x14ac:dyDescent="0.3">
      <c r="A251" s="29" t="str">
        <f ca="1">$H$195</f>
        <v>Indigo (S)</v>
      </c>
      <c r="B251" t="str">
        <f ca="1">IF(A251="","","Workforce demand")</f>
        <v>Workforce demand</v>
      </c>
      <c r="C251" s="16"/>
      <c r="D251" s="41">
        <f ca="1">IF($A251="","",INDEX(CONSOLIDATED!$H$88:$V$166,MATCH($A251,CONSOLIDATED!$A$88:$A$166,0),MATCH(D$244,CONSOLIDATED!$H$2:$V$2,0)))</f>
        <v>1.506925760558373</v>
      </c>
      <c r="E251" s="41">
        <f ca="1">IF($A251="","",INDEX(CONSOLIDATED!$H$88:$V$166,MATCH($A251,CONSOLIDATED!$A$88:$A$166,0),MATCH(E$244,CONSOLIDATED!$H$2:$V$2,0)))</f>
        <v>1.8756826628567707</v>
      </c>
      <c r="F251" s="41">
        <f ca="1">IF($A251="","",INDEX(CONSOLIDATED!$H$88:$V$166,MATCH($A251,CONSOLIDATED!$A$88:$A$166,0),MATCH(F$244,CONSOLIDATED!$H$2:$V$2,0)))</f>
        <v>2.1055113456424288</v>
      </c>
      <c r="G251" s="41">
        <f ca="1">IF($A251="","",INDEX(CONSOLIDATED!$H$88:$V$166,MATCH($A251,CONSOLIDATED!$A$88:$A$166,0),MATCH(G$244,CONSOLIDATED!$H$2:$V$2,0)))</f>
        <v>2.0911882236479173</v>
      </c>
      <c r="H251" s="41">
        <f ca="1">IF($A251="","",INDEX(CONSOLIDATED!$H$88:$V$166,MATCH($A251,CONSOLIDATED!$A$88:$A$166,0),MATCH(H$244,CONSOLIDATED!$H$2:$V$2,0)))</f>
        <v>2.0770746924119732</v>
      </c>
      <c r="I251" s="41">
        <f ca="1">IF($A251="","",INDEX(CONSOLIDATED!$H$88:$V$166,MATCH($A251,CONSOLIDATED!$A$88:$A$166,0),MATCH(I$244,CONSOLIDATED!$H$2:$V$2,0)))</f>
        <v>2.0917703332974034</v>
      </c>
      <c r="J251" s="41">
        <f ca="1">IF($A251="","",INDEX(CONSOLIDATED!$H$88:$V$166,MATCH($A251,CONSOLIDATED!$A$88:$A$166,0),MATCH(J$244,CONSOLIDATED!$H$2:$V$2,0)))</f>
        <v>2.0987827147853695</v>
      </c>
      <c r="K251" s="41">
        <f ca="1">IF($A251="","",INDEX(CONSOLIDATED!$H$88:$V$166,MATCH($A251,CONSOLIDATED!$A$88:$A$166,0),MATCH(K$244,CONSOLIDATED!$H$2:$V$2,0)))</f>
        <v>2.1063004960121039</v>
      </c>
      <c r="L251" s="41">
        <f ca="1">IF($A251="","",INDEX(CONSOLIDATED!$H$88:$V$166,MATCH($A251,CONSOLIDATED!$A$88:$A$166,0),MATCH(L$244,CONSOLIDATED!$H$2:$V$2,0)))</f>
        <v>2.1142018508664133</v>
      </c>
      <c r="M251" s="41">
        <f ca="1">IF($A251="","",INDEX(CONSOLIDATED!$H$88:$V$166,MATCH($A251,CONSOLIDATED!$A$88:$A$166,0),MATCH(M$244,CONSOLIDATED!$H$2:$V$2,0)))</f>
        <v>2.1224576726940834</v>
      </c>
      <c r="N251" s="41">
        <f ca="1">IF($A251="","",INDEX(CONSOLIDATED!$H$88:$V$166,MATCH($A251,CONSOLIDATED!$A$88:$A$166,0),MATCH(N$244,CONSOLIDATED!$H$2:$V$2,0)))</f>
        <v>2.1311788843596569</v>
      </c>
      <c r="O251" s="41">
        <f ca="1">IF($A251="","",INDEX(CONSOLIDATED!$H$88:$V$166,MATCH($A251,CONSOLIDATED!$A$88:$A$166,0),MATCH(O$244,CONSOLIDATED!$H$2:$V$2,0)))</f>
        <v>2.1403200631378865</v>
      </c>
      <c r="P251" s="41">
        <f ca="1">IF($A251="","",INDEX(CONSOLIDATED!$H$88:$V$166,MATCH($A251,CONSOLIDATED!$A$88:$A$166,0),MATCH(P$244,CONSOLIDATED!$H$2:$V$2,0)))</f>
        <v>2.1497434858457316</v>
      </c>
      <c r="Q251" s="41">
        <f ca="1">IF($A251="","",INDEX(CONSOLIDATED!$H$88:$V$166,MATCH($A251,CONSOLIDATED!$A$88:$A$166,0),MATCH(Q$244,CONSOLIDATED!$H$2:$V$2,0)))</f>
        <v>2.159430756828046</v>
      </c>
    </row>
    <row r="252" spans="1:17" x14ac:dyDescent="0.3">
      <c r="A252" s="29" t="str">
        <f ca="1">$H$195</f>
        <v>Indigo (S)</v>
      </c>
      <c r="B252" t="str">
        <f ca="1">IF($A252="","","Workforce supply")</f>
        <v>Workforce supply</v>
      </c>
      <c r="C252" s="13"/>
      <c r="D252" s="41">
        <f ca="1">IF($A252="","",INDEX(CONSOLIDATED!$H$6:$V$84,MATCH($A252,CONSOLIDATED!$A$6:$A$84,0),MATCH(D$244,CONSOLIDATED!$H$2:$V$2,0)))</f>
        <v>1.52</v>
      </c>
      <c r="E252" s="41">
        <f ca="1">IF($A252="","",INDEX(CONSOLIDATED!$H$6:$V$84,MATCH($A252,CONSOLIDATED!$A$6:$A$84,0),MATCH(E$244,CONSOLIDATED!$H$2:$V$2,0)))</f>
        <v>1.52</v>
      </c>
      <c r="F252" s="41">
        <f ca="1">IF($A252="","",INDEX(CONSOLIDATED!$H$6:$V$84,MATCH($A252,CONSOLIDATED!$A$6:$A$84,0),MATCH(F$244,CONSOLIDATED!$H$2:$V$2,0)))</f>
        <v>1.52</v>
      </c>
      <c r="G252" s="41">
        <f ca="1">IF($A252="","",INDEX(CONSOLIDATED!$H$6:$V$84,MATCH($A252,CONSOLIDATED!$A$6:$A$84,0),MATCH(G$244,CONSOLIDATED!$H$2:$V$2,0)))</f>
        <v>1.52</v>
      </c>
      <c r="H252" s="41">
        <f ca="1">IF($A252="","",INDEX(CONSOLIDATED!$H$6:$V$84,MATCH($A252,CONSOLIDATED!$A$6:$A$84,0),MATCH(H$244,CONSOLIDATED!$H$2:$V$2,0)))</f>
        <v>1.52</v>
      </c>
      <c r="I252" s="41">
        <f ca="1">IF($A252="","",INDEX(CONSOLIDATED!$H$6:$V$84,MATCH($A252,CONSOLIDATED!$A$6:$A$84,0),MATCH(I$244,CONSOLIDATED!$H$2:$V$2,0)))</f>
        <v>1.52</v>
      </c>
      <c r="J252" s="41">
        <f ca="1">IF($A252="","",INDEX(CONSOLIDATED!$H$6:$V$84,MATCH($A252,CONSOLIDATED!$A$6:$A$84,0),MATCH(J$244,CONSOLIDATED!$H$2:$V$2,0)))</f>
        <v>1.52</v>
      </c>
      <c r="K252" s="41">
        <f ca="1">IF($A252="","",INDEX(CONSOLIDATED!$H$6:$V$84,MATCH($A252,CONSOLIDATED!$A$6:$A$84,0),MATCH(K$244,CONSOLIDATED!$H$2:$V$2,0)))</f>
        <v>1.52</v>
      </c>
      <c r="L252" s="41">
        <f ca="1">IF($A252="","",INDEX(CONSOLIDATED!$H$6:$V$84,MATCH($A252,CONSOLIDATED!$A$6:$A$84,0),MATCH(L$244,CONSOLIDATED!$H$2:$V$2,0)))</f>
        <v>1.52</v>
      </c>
      <c r="M252" s="41">
        <f ca="1">IF($A252="","",INDEX(CONSOLIDATED!$H$6:$V$84,MATCH($A252,CONSOLIDATED!$A$6:$A$84,0),MATCH(M$244,CONSOLIDATED!$H$2:$V$2,0)))</f>
        <v>1.52</v>
      </c>
      <c r="N252" s="41">
        <f ca="1">IF($A252="","",INDEX(CONSOLIDATED!$H$6:$V$84,MATCH($A252,CONSOLIDATED!$A$6:$A$84,0),MATCH(N$244,CONSOLIDATED!$H$2:$V$2,0)))</f>
        <v>1.52</v>
      </c>
      <c r="O252" s="41">
        <f ca="1">IF($A252="","",INDEX(CONSOLIDATED!$H$6:$V$84,MATCH($A252,CONSOLIDATED!$A$6:$A$84,0),MATCH(O$244,CONSOLIDATED!$H$2:$V$2,0)))</f>
        <v>1.52</v>
      </c>
      <c r="P252" s="41">
        <f ca="1">IF($A252="","",INDEX(CONSOLIDATED!$H$6:$V$84,MATCH($A252,CONSOLIDATED!$A$6:$A$84,0),MATCH(P$244,CONSOLIDATED!$H$2:$V$2,0)))</f>
        <v>1.52</v>
      </c>
      <c r="Q252" s="41">
        <f ca="1">IF($A252="","",INDEX(CONSOLIDATED!$H$6:$V$84,MATCH($A252,CONSOLIDATED!$A$6:$A$84,0),MATCH(Q$244,CONSOLIDATED!$H$2:$V$2,0)))</f>
        <v>1.52</v>
      </c>
    </row>
    <row r="253" spans="1:17" x14ac:dyDescent="0.3">
      <c r="A253" s="29"/>
      <c r="B253" t="str">
        <f ca="1">IF(B250="","","Gap (Supply less Demand)")</f>
        <v>Gap (Supply less Demand)</v>
      </c>
      <c r="C253" s="16"/>
      <c r="D253" s="41">
        <f t="shared" ref="D253:Q253" ca="1" si="11">IFERROR(D252-D251,"")</f>
        <v>1.3074239441627E-2</v>
      </c>
      <c r="E253" s="41">
        <f t="shared" ca="1" si="11"/>
        <v>-0.35568266285677064</v>
      </c>
      <c r="F253" s="41">
        <f t="shared" ca="1" si="11"/>
        <v>-0.58551134564242879</v>
      </c>
      <c r="G253" s="41">
        <f t="shared" ca="1" si="11"/>
        <v>-0.57118822364791733</v>
      </c>
      <c r="H253" s="41">
        <f t="shared" ca="1" si="11"/>
        <v>-0.55707469241197316</v>
      </c>
      <c r="I253" s="41">
        <f t="shared" ca="1" si="11"/>
        <v>-0.57177033329740334</v>
      </c>
      <c r="J253" s="41">
        <f t="shared" ca="1" si="11"/>
        <v>-0.57878271478536947</v>
      </c>
      <c r="K253" s="41">
        <f t="shared" ca="1" si="11"/>
        <v>-0.58630049601210388</v>
      </c>
      <c r="L253" s="41">
        <f t="shared" ca="1" si="11"/>
        <v>-0.59420185086641331</v>
      </c>
      <c r="M253" s="41">
        <f t="shared" ca="1" si="11"/>
        <v>-0.60245767269408335</v>
      </c>
      <c r="N253" s="41">
        <f t="shared" ca="1" si="11"/>
        <v>-0.61117888435965684</v>
      </c>
      <c r="O253" s="41">
        <f t="shared" ca="1" si="11"/>
        <v>-0.62032006313788646</v>
      </c>
      <c r="P253" s="41">
        <f t="shared" ca="1" si="11"/>
        <v>-0.62974348584573159</v>
      </c>
      <c r="Q253" s="41">
        <f t="shared" ca="1" si="11"/>
        <v>-0.63943075682804595</v>
      </c>
    </row>
    <row r="254" spans="1:17" ht="15.5" x14ac:dyDescent="0.35">
      <c r="A254" s="29"/>
      <c r="B254" s="192" t="str">
        <f ca="1">$K$196</f>
        <v>Towong</v>
      </c>
      <c r="C254" s="192"/>
      <c r="D254" s="192"/>
      <c r="E254" s="192"/>
      <c r="F254" s="192"/>
      <c r="G254" s="192"/>
      <c r="H254" s="192"/>
      <c r="I254" s="192"/>
      <c r="J254" s="192"/>
      <c r="K254" s="192"/>
      <c r="L254" s="192"/>
      <c r="M254" s="192"/>
      <c r="N254" s="192"/>
      <c r="O254" s="192"/>
      <c r="P254" s="192"/>
      <c r="Q254" s="192"/>
    </row>
    <row r="255" spans="1:17" x14ac:dyDescent="0.3">
      <c r="A255" s="29" t="str">
        <f ca="1">$H$196</f>
        <v>Towong (S)</v>
      </c>
      <c r="B255" t="str">
        <f ca="1">IF(A255="","","Workforce demand")</f>
        <v>Workforce demand</v>
      </c>
      <c r="C255" s="16"/>
      <c r="D255" s="41">
        <f ca="1">IF($A255="","",INDEX(CONSOLIDATED!$H$88:$V$166,MATCH($A255,CONSOLIDATED!$A$88:$A$166,0),MATCH(D$244,CONSOLIDATED!$H$2:$V$2,0)))</f>
        <v>3.027594454633141</v>
      </c>
      <c r="E255" s="41">
        <f ca="1">IF($A255="","",INDEX(CONSOLIDATED!$H$88:$V$166,MATCH($A255,CONSOLIDATED!$A$88:$A$166,0),MATCH(E$244,CONSOLIDATED!$H$2:$V$2,0)))</f>
        <v>4.9047139582850914</v>
      </c>
      <c r="F255" s="41">
        <f ca="1">IF($A255="","",INDEX(CONSOLIDATED!$H$88:$V$166,MATCH($A255,CONSOLIDATED!$A$88:$A$166,0),MATCH(F$244,CONSOLIDATED!$H$2:$V$2,0)))</f>
        <v>5.9102726933692882</v>
      </c>
      <c r="G255" s="41">
        <f ca="1">IF($A255="","",INDEX(CONSOLIDATED!$H$88:$V$166,MATCH($A255,CONSOLIDATED!$A$88:$A$166,0),MATCH(G$244,CONSOLIDATED!$H$2:$V$2,0)))</f>
        <v>5.8817012079997237</v>
      </c>
      <c r="H255" s="41">
        <f ca="1">IF($A255="","",INDEX(CONSOLIDATED!$H$88:$V$166,MATCH($A255,CONSOLIDATED!$A$88:$A$166,0),MATCH(H$244,CONSOLIDATED!$H$2:$V$2,0)))</f>
        <v>5.8872533409253256</v>
      </c>
      <c r="I255" s="41">
        <f ca="1">IF($A255="","",INDEX(CONSOLIDATED!$H$88:$V$166,MATCH($A255,CONSOLIDATED!$A$88:$A$166,0),MATCH(I$244,CONSOLIDATED!$H$2:$V$2,0)))</f>
        <v>5.854422145258865</v>
      </c>
      <c r="J255" s="41">
        <f ca="1">IF($A255="","",INDEX(CONSOLIDATED!$H$88:$V$166,MATCH($A255,CONSOLIDATED!$A$88:$A$166,0),MATCH(J$244,CONSOLIDATED!$H$2:$V$2,0)))</f>
        <v>5.8368622381615758</v>
      </c>
      <c r="K255" s="41">
        <f ca="1">IF($A255="","",INDEX(CONSOLIDATED!$H$88:$V$166,MATCH($A255,CONSOLIDATED!$A$88:$A$166,0),MATCH(K$244,CONSOLIDATED!$H$2:$V$2,0)))</f>
        <v>5.8203078125433665</v>
      </c>
      <c r="L255" s="41">
        <f ca="1">IF($A255="","",INDEX(CONSOLIDATED!$H$88:$V$166,MATCH($A255,CONSOLIDATED!$A$88:$A$166,0),MATCH(L$244,CONSOLIDATED!$H$2:$V$2,0)))</f>
        <v>5.8042265581321537</v>
      </c>
      <c r="M255" s="41">
        <f ca="1">IF($A255="","",INDEX(CONSOLIDATED!$H$88:$V$166,MATCH($A255,CONSOLIDATED!$A$88:$A$166,0),MATCH(M$244,CONSOLIDATED!$H$2:$V$2,0)))</f>
        <v>5.7884023684071</v>
      </c>
      <c r="N255" s="41">
        <f ca="1">IF($A255="","",INDEX(CONSOLIDATED!$H$88:$V$166,MATCH($A255,CONSOLIDATED!$A$88:$A$166,0),MATCH(N$244,CONSOLIDATED!$H$2:$V$2,0)))</f>
        <v>5.772376592183095</v>
      </c>
      <c r="O255" s="41">
        <f ca="1">IF($A255="","",INDEX(CONSOLIDATED!$H$88:$V$166,MATCH($A255,CONSOLIDATED!$A$88:$A$166,0),MATCH(O$244,CONSOLIDATED!$H$2:$V$2,0)))</f>
        <v>5.7563025023539245</v>
      </c>
      <c r="P255" s="41">
        <f ca="1">IF($A255="","",INDEX(CONSOLIDATED!$H$88:$V$166,MATCH($A255,CONSOLIDATED!$A$88:$A$166,0),MATCH(P$244,CONSOLIDATED!$H$2:$V$2,0)))</f>
        <v>5.7407616012333014</v>
      </c>
      <c r="Q255" s="41">
        <f ca="1">IF($A255="","",INDEX(CONSOLIDATED!$H$88:$V$166,MATCH($A255,CONSOLIDATED!$A$88:$A$166,0),MATCH(Q$244,CONSOLIDATED!$H$2:$V$2,0)))</f>
        <v>5.7258073972843606</v>
      </c>
    </row>
    <row r="256" spans="1:17" x14ac:dyDescent="0.3">
      <c r="A256" s="29" t="str">
        <f ca="1">$H$196</f>
        <v>Towong (S)</v>
      </c>
      <c r="B256" t="str">
        <f ca="1">IF($A256="","","Workforce supply")</f>
        <v>Workforce supply</v>
      </c>
      <c r="C256" s="16"/>
      <c r="D256" s="41">
        <f ca="1">IF($A256="","",INDEX(CONSOLIDATED!$H$6:$V$84,MATCH($A256,CONSOLIDATED!$A$6:$A$84,0),MATCH(D$244,CONSOLIDATED!$H$2:$V$2,0)))</f>
        <v>0.8</v>
      </c>
      <c r="E256" s="41">
        <f ca="1">IF($A256="","",INDEX(CONSOLIDATED!$H$6:$V$84,MATCH($A256,CONSOLIDATED!$A$6:$A$84,0),MATCH(E$244,CONSOLIDATED!$H$2:$V$2,0)))</f>
        <v>0.8</v>
      </c>
      <c r="F256" s="41">
        <f ca="1">IF($A256="","",INDEX(CONSOLIDATED!$H$6:$V$84,MATCH($A256,CONSOLIDATED!$A$6:$A$84,0),MATCH(F$244,CONSOLIDATED!$H$2:$V$2,0)))</f>
        <v>0.8</v>
      </c>
      <c r="G256" s="41">
        <f ca="1">IF($A256="","",INDEX(CONSOLIDATED!$H$6:$V$84,MATCH($A256,CONSOLIDATED!$A$6:$A$84,0),MATCH(G$244,CONSOLIDATED!$H$2:$V$2,0)))</f>
        <v>0.8</v>
      </c>
      <c r="H256" s="41">
        <f ca="1">IF($A256="","",INDEX(CONSOLIDATED!$H$6:$V$84,MATCH($A256,CONSOLIDATED!$A$6:$A$84,0),MATCH(H$244,CONSOLIDATED!$H$2:$V$2,0)))</f>
        <v>0.8</v>
      </c>
      <c r="I256" s="41">
        <f ca="1">IF($A256="","",INDEX(CONSOLIDATED!$H$6:$V$84,MATCH($A256,CONSOLIDATED!$A$6:$A$84,0),MATCH(I$244,CONSOLIDATED!$H$2:$V$2,0)))</f>
        <v>0.8</v>
      </c>
      <c r="J256" s="41">
        <f ca="1">IF($A256="","",INDEX(CONSOLIDATED!$H$6:$V$84,MATCH($A256,CONSOLIDATED!$A$6:$A$84,0),MATCH(J$244,CONSOLIDATED!$H$2:$V$2,0)))</f>
        <v>0.8</v>
      </c>
      <c r="K256" s="41">
        <f ca="1">IF($A256="","",INDEX(CONSOLIDATED!$H$6:$V$84,MATCH($A256,CONSOLIDATED!$A$6:$A$84,0),MATCH(K$244,CONSOLIDATED!$H$2:$V$2,0)))</f>
        <v>0.8</v>
      </c>
      <c r="L256" s="41">
        <f ca="1">IF($A256="","",INDEX(CONSOLIDATED!$H$6:$V$84,MATCH($A256,CONSOLIDATED!$A$6:$A$84,0),MATCH(L$244,CONSOLIDATED!$H$2:$V$2,0)))</f>
        <v>0.8</v>
      </c>
      <c r="M256" s="41">
        <f ca="1">IF($A256="","",INDEX(CONSOLIDATED!$H$6:$V$84,MATCH($A256,CONSOLIDATED!$A$6:$A$84,0),MATCH(M$244,CONSOLIDATED!$H$2:$V$2,0)))</f>
        <v>0.8</v>
      </c>
      <c r="N256" s="41">
        <f ca="1">IF($A256="","",INDEX(CONSOLIDATED!$H$6:$V$84,MATCH($A256,CONSOLIDATED!$A$6:$A$84,0),MATCH(N$244,CONSOLIDATED!$H$2:$V$2,0)))</f>
        <v>0.8</v>
      </c>
      <c r="O256" s="41">
        <f ca="1">IF($A256="","",INDEX(CONSOLIDATED!$H$6:$V$84,MATCH($A256,CONSOLIDATED!$A$6:$A$84,0),MATCH(O$244,CONSOLIDATED!$H$2:$V$2,0)))</f>
        <v>0.8</v>
      </c>
      <c r="P256" s="41">
        <f ca="1">IF($A256="","",INDEX(CONSOLIDATED!$H$6:$V$84,MATCH($A256,CONSOLIDATED!$A$6:$A$84,0),MATCH(P$244,CONSOLIDATED!$H$2:$V$2,0)))</f>
        <v>0.8</v>
      </c>
      <c r="Q256" s="41">
        <f ca="1">IF($A256="","",INDEX(CONSOLIDATED!$H$6:$V$84,MATCH($A256,CONSOLIDATED!$A$6:$A$84,0),MATCH(Q$244,CONSOLIDATED!$H$2:$V$2,0)))</f>
        <v>0.8</v>
      </c>
    </row>
    <row r="257" spans="1:17" x14ac:dyDescent="0.3">
      <c r="A257" s="29"/>
      <c r="B257" t="str">
        <f ca="1">IF(B254="","","Gap (Supply less Demand)")</f>
        <v>Gap (Supply less Demand)</v>
      </c>
      <c r="C257" s="16"/>
      <c r="D257" s="41">
        <f t="shared" ref="D257:Q257" ca="1" si="12">IFERROR(D256-D255,"")</f>
        <v>-2.2275944546331408</v>
      </c>
      <c r="E257" s="41">
        <f t="shared" ca="1" si="12"/>
        <v>-4.1047139582850916</v>
      </c>
      <c r="F257" s="41">
        <f t="shared" ca="1" si="12"/>
        <v>-5.1102726933692884</v>
      </c>
      <c r="G257" s="41">
        <f t="shared" ca="1" si="12"/>
        <v>-5.0817012079997239</v>
      </c>
      <c r="H257" s="41">
        <f t="shared" ca="1" si="12"/>
        <v>-5.0872533409253258</v>
      </c>
      <c r="I257" s="41">
        <f t="shared" ca="1" si="12"/>
        <v>-5.0544221452588651</v>
      </c>
      <c r="J257" s="41">
        <f t="shared" ca="1" si="12"/>
        <v>-5.036862238161576</v>
      </c>
      <c r="K257" s="41">
        <f t="shared" ca="1" si="12"/>
        <v>-5.0203078125433667</v>
      </c>
      <c r="L257" s="41">
        <f t="shared" ca="1" si="12"/>
        <v>-5.0042265581321539</v>
      </c>
      <c r="M257" s="41">
        <f t="shared" ca="1" si="12"/>
        <v>-4.9884023684071002</v>
      </c>
      <c r="N257" s="41">
        <f t="shared" ca="1" si="12"/>
        <v>-4.9723765921830951</v>
      </c>
      <c r="O257" s="41">
        <f t="shared" ca="1" si="12"/>
        <v>-4.9563025023539247</v>
      </c>
      <c r="P257" s="41">
        <f t="shared" ca="1" si="12"/>
        <v>-4.9407616012333015</v>
      </c>
      <c r="Q257" s="41">
        <f t="shared" ca="1" si="12"/>
        <v>-4.9258073972843608</v>
      </c>
    </row>
    <row r="258" spans="1:17" ht="15.5" x14ac:dyDescent="0.35">
      <c r="A258" s="29"/>
      <c r="B258" s="192" t="str">
        <f ca="1">$K$197</f>
        <v>Wangaratta</v>
      </c>
      <c r="C258" s="192"/>
      <c r="D258" s="192"/>
      <c r="E258" s="192"/>
      <c r="F258" s="192"/>
      <c r="G258" s="192"/>
      <c r="H258" s="192"/>
      <c r="I258" s="192"/>
      <c r="J258" s="192"/>
      <c r="K258" s="192"/>
      <c r="L258" s="192"/>
      <c r="M258" s="192"/>
      <c r="N258" s="192"/>
      <c r="O258" s="192"/>
      <c r="P258" s="192"/>
      <c r="Q258" s="192"/>
    </row>
    <row r="259" spans="1:17" x14ac:dyDescent="0.3">
      <c r="A259" s="29" t="str">
        <f ca="1">$H$197</f>
        <v>Wangaratta (RC)</v>
      </c>
      <c r="B259" t="str">
        <f ca="1">IF(A259="","","Workforce demand")</f>
        <v>Workforce demand</v>
      </c>
      <c r="C259" s="16"/>
      <c r="D259" s="41">
        <f ca="1">IF($A259="","",INDEX(CONSOLIDATED!$H$88:$V$166,MATCH($A259,CONSOLIDATED!$A$88:$A$166,0),MATCH(D$244,CONSOLIDATED!$H$2:$V$2,0)))</f>
        <v>2.3802042137021977</v>
      </c>
      <c r="E259" s="41">
        <f ca="1">IF($A259="","",INDEX(CONSOLIDATED!$H$88:$V$166,MATCH($A259,CONSOLIDATED!$A$88:$A$166,0),MATCH(E$244,CONSOLIDATED!$H$2:$V$2,0)))</f>
        <v>2.6026926250586313</v>
      </c>
      <c r="F259" s="41">
        <f ca="1">IF($A259="","",INDEX(CONSOLIDATED!$H$88:$V$166,MATCH($A259,CONSOLIDATED!$A$88:$A$166,0),MATCH(F$244,CONSOLIDATED!$H$2:$V$2,0)))</f>
        <v>2.7556500862998998</v>
      </c>
      <c r="G259" s="41">
        <f ca="1">IF($A259="","",INDEX(CONSOLIDATED!$H$88:$V$166,MATCH($A259,CONSOLIDATED!$A$88:$A$166,0),MATCH(G$244,CONSOLIDATED!$H$2:$V$2,0)))</f>
        <v>2.7780155170732175</v>
      </c>
      <c r="H259" s="41">
        <f ca="1">IF($A259="","",INDEX(CONSOLIDATED!$H$88:$V$166,MATCH($A259,CONSOLIDATED!$A$88:$A$166,0),MATCH(H$244,CONSOLIDATED!$H$2:$V$2,0)))</f>
        <v>2.7786117257199376</v>
      </c>
      <c r="I259" s="41">
        <f ca="1">IF($A259="","",INDEX(CONSOLIDATED!$H$88:$V$166,MATCH($A259,CONSOLIDATED!$A$88:$A$166,0),MATCH(I$244,CONSOLIDATED!$H$2:$V$2,0)))</f>
        <v>2.795225605737031</v>
      </c>
      <c r="J259" s="41">
        <f ca="1">IF($A259="","",INDEX(CONSOLIDATED!$H$88:$V$166,MATCH($A259,CONSOLIDATED!$A$88:$A$166,0),MATCH(J$244,CONSOLIDATED!$H$2:$V$2,0)))</f>
        <v>2.8001055066132627</v>
      </c>
      <c r="K259" s="41">
        <f ca="1">IF($A259="","",INDEX(CONSOLIDATED!$H$88:$V$166,MATCH($A259,CONSOLIDATED!$A$88:$A$166,0),MATCH(K$244,CONSOLIDATED!$H$2:$V$2,0)))</f>
        <v>2.8054666970827746</v>
      </c>
      <c r="L259" s="41">
        <f ca="1">IF($A259="","",INDEX(CONSOLIDATED!$H$88:$V$166,MATCH($A259,CONSOLIDATED!$A$88:$A$166,0),MATCH(L$244,CONSOLIDATED!$H$2:$V$2,0)))</f>
        <v>2.8110477769988984</v>
      </c>
      <c r="M259" s="41">
        <f ca="1">IF($A259="","",INDEX(CONSOLIDATED!$H$88:$V$166,MATCH($A259,CONSOLIDATED!$A$88:$A$166,0),MATCH(M$244,CONSOLIDATED!$H$2:$V$2,0)))</f>
        <v>2.8168525144203223</v>
      </c>
      <c r="N259" s="41">
        <f ca="1">IF($A259="","",INDEX(CONSOLIDATED!$H$88:$V$166,MATCH($A259,CONSOLIDATED!$A$88:$A$166,0),MATCH(N$244,CONSOLIDATED!$H$2:$V$2,0)))</f>
        <v>2.8230194803194895</v>
      </c>
      <c r="O259" s="41">
        <f ca="1">IF($A259="","",INDEX(CONSOLIDATED!$H$88:$V$166,MATCH($A259,CONSOLIDATED!$A$88:$A$166,0),MATCH(O$244,CONSOLIDATED!$H$2:$V$2,0)))</f>
        <v>2.8295638944134556</v>
      </c>
      <c r="P259" s="41">
        <f ca="1">IF($A259="","",INDEX(CONSOLIDATED!$H$88:$V$166,MATCH($A259,CONSOLIDATED!$A$88:$A$166,0),MATCH(P$244,CONSOLIDATED!$H$2:$V$2,0)))</f>
        <v>2.836586245074475</v>
      </c>
      <c r="Q259" s="41">
        <f ca="1">IF($A259="","",INDEX(CONSOLIDATED!$H$88:$V$166,MATCH($A259,CONSOLIDATED!$A$88:$A$166,0),MATCH(Q$244,CONSOLIDATED!$H$2:$V$2,0)))</f>
        <v>2.8441092215202013</v>
      </c>
    </row>
    <row r="260" spans="1:17" x14ac:dyDescent="0.3">
      <c r="A260" s="29" t="str">
        <f ca="1">$H$197</f>
        <v>Wangaratta (RC)</v>
      </c>
      <c r="B260" t="str">
        <f ca="1">IF($A260="","","Workforce supply")</f>
        <v>Workforce supply</v>
      </c>
      <c r="C260" s="13"/>
      <c r="D260" s="41">
        <f ca="1">IF($A260="","",INDEX(CONSOLIDATED!$H$6:$V$84,MATCH($A260,CONSOLIDATED!$A$6:$A$84,0),MATCH(D$244,CONSOLIDATED!$H$2:$V$2,0)))</f>
        <v>2.75</v>
      </c>
      <c r="E260" s="41">
        <f ca="1">IF($A260="","",INDEX(CONSOLIDATED!$H$6:$V$84,MATCH($A260,CONSOLIDATED!$A$6:$A$84,0),MATCH(E$244,CONSOLIDATED!$H$2:$V$2,0)))</f>
        <v>2.75</v>
      </c>
      <c r="F260" s="41">
        <f ca="1">IF($A260="","",INDEX(CONSOLIDATED!$H$6:$V$84,MATCH($A260,CONSOLIDATED!$A$6:$A$84,0),MATCH(F$244,CONSOLIDATED!$H$2:$V$2,0)))</f>
        <v>2.75</v>
      </c>
      <c r="G260" s="41">
        <f ca="1">IF($A260="","",INDEX(CONSOLIDATED!$H$6:$V$84,MATCH($A260,CONSOLIDATED!$A$6:$A$84,0),MATCH(G$244,CONSOLIDATED!$H$2:$V$2,0)))</f>
        <v>2.75</v>
      </c>
      <c r="H260" s="41">
        <f ca="1">IF($A260="","",INDEX(CONSOLIDATED!$H$6:$V$84,MATCH($A260,CONSOLIDATED!$A$6:$A$84,0),MATCH(H$244,CONSOLIDATED!$H$2:$V$2,0)))</f>
        <v>2.75</v>
      </c>
      <c r="I260" s="41">
        <f ca="1">IF($A260="","",INDEX(CONSOLIDATED!$H$6:$V$84,MATCH($A260,CONSOLIDATED!$A$6:$A$84,0),MATCH(I$244,CONSOLIDATED!$H$2:$V$2,0)))</f>
        <v>2.75</v>
      </c>
      <c r="J260" s="41">
        <f ca="1">IF($A260="","",INDEX(CONSOLIDATED!$H$6:$V$84,MATCH($A260,CONSOLIDATED!$A$6:$A$84,0),MATCH(J$244,CONSOLIDATED!$H$2:$V$2,0)))</f>
        <v>2.75</v>
      </c>
      <c r="K260" s="41">
        <f ca="1">IF($A260="","",INDEX(CONSOLIDATED!$H$6:$V$84,MATCH($A260,CONSOLIDATED!$A$6:$A$84,0),MATCH(K$244,CONSOLIDATED!$H$2:$V$2,0)))</f>
        <v>2.75</v>
      </c>
      <c r="L260" s="41">
        <f ca="1">IF($A260="","",INDEX(CONSOLIDATED!$H$6:$V$84,MATCH($A260,CONSOLIDATED!$A$6:$A$84,0),MATCH(L$244,CONSOLIDATED!$H$2:$V$2,0)))</f>
        <v>2.75</v>
      </c>
      <c r="M260" s="41">
        <f ca="1">IF($A260="","",INDEX(CONSOLIDATED!$H$6:$V$84,MATCH($A260,CONSOLIDATED!$A$6:$A$84,0),MATCH(M$244,CONSOLIDATED!$H$2:$V$2,0)))</f>
        <v>2.75</v>
      </c>
      <c r="N260" s="41">
        <f ca="1">IF($A260="","",INDEX(CONSOLIDATED!$H$6:$V$84,MATCH($A260,CONSOLIDATED!$A$6:$A$84,0),MATCH(N$244,CONSOLIDATED!$H$2:$V$2,0)))</f>
        <v>2.75</v>
      </c>
      <c r="O260" s="41">
        <f ca="1">IF($A260="","",INDEX(CONSOLIDATED!$H$6:$V$84,MATCH($A260,CONSOLIDATED!$A$6:$A$84,0),MATCH(O$244,CONSOLIDATED!$H$2:$V$2,0)))</f>
        <v>2.75</v>
      </c>
      <c r="P260" s="41">
        <f ca="1">IF($A260="","",INDEX(CONSOLIDATED!$H$6:$V$84,MATCH($A260,CONSOLIDATED!$A$6:$A$84,0),MATCH(P$244,CONSOLIDATED!$H$2:$V$2,0)))</f>
        <v>2.75</v>
      </c>
      <c r="Q260" s="41">
        <f ca="1">IF($A260="","",INDEX(CONSOLIDATED!$H$6:$V$84,MATCH($A260,CONSOLIDATED!$A$6:$A$84,0),MATCH(Q$244,CONSOLIDATED!$H$2:$V$2,0)))</f>
        <v>2.75</v>
      </c>
    </row>
    <row r="261" spans="1:17" x14ac:dyDescent="0.3">
      <c r="A261" s="29"/>
      <c r="B261" t="str">
        <f ca="1">IF(B258="","","Gap (Supply less Demand)")</f>
        <v>Gap (Supply less Demand)</v>
      </c>
      <c r="C261" s="16"/>
      <c r="D261" s="41">
        <f t="shared" ref="D261:Q261" ca="1" si="13">IFERROR(D260-D259,"")</f>
        <v>0.3697957862978023</v>
      </c>
      <c r="E261" s="41">
        <f t="shared" ca="1" si="13"/>
        <v>0.1473073749413687</v>
      </c>
      <c r="F261" s="41">
        <f t="shared" ca="1" si="13"/>
        <v>-5.6500862998998258E-3</v>
      </c>
      <c r="G261" s="41">
        <f t="shared" ca="1" si="13"/>
        <v>-2.8015517073217477E-2</v>
      </c>
      <c r="H261" s="41">
        <f t="shared" ca="1" si="13"/>
        <v>-2.8611725719937642E-2</v>
      </c>
      <c r="I261" s="41">
        <f t="shared" ca="1" si="13"/>
        <v>-4.5225605737031049E-2</v>
      </c>
      <c r="J261" s="41">
        <f t="shared" ca="1" si="13"/>
        <v>-5.010550661326274E-2</v>
      </c>
      <c r="K261" s="41">
        <f t="shared" ca="1" si="13"/>
        <v>-5.546669708277463E-2</v>
      </c>
      <c r="L261" s="41">
        <f t="shared" ca="1" si="13"/>
        <v>-6.1047776998898406E-2</v>
      </c>
      <c r="M261" s="41">
        <f t="shared" ca="1" si="13"/>
        <v>-6.6852514420322251E-2</v>
      </c>
      <c r="N261" s="41">
        <f t="shared" ca="1" si="13"/>
        <v>-7.301948031948946E-2</v>
      </c>
      <c r="O261" s="41">
        <f t="shared" ca="1" si="13"/>
        <v>-7.9563894413455571E-2</v>
      </c>
      <c r="P261" s="41">
        <f t="shared" ca="1" si="13"/>
        <v>-8.6586245074474988E-2</v>
      </c>
      <c r="Q261" s="41">
        <f t="shared" ca="1" si="13"/>
        <v>-9.4109221520201292E-2</v>
      </c>
    </row>
    <row r="262" spans="1:17" ht="15.5" x14ac:dyDescent="0.35">
      <c r="A262" s="29"/>
      <c r="B262" s="192" t="str">
        <f>$K$198</f>
        <v/>
      </c>
      <c r="C262" s="192"/>
      <c r="D262" s="192"/>
      <c r="E262" s="192"/>
      <c r="F262" s="192"/>
      <c r="G262" s="192"/>
      <c r="H262" s="192"/>
      <c r="I262" s="192"/>
      <c r="J262" s="192"/>
      <c r="K262" s="192"/>
      <c r="L262" s="192"/>
      <c r="M262" s="192"/>
      <c r="N262" s="192"/>
      <c r="O262" s="192"/>
      <c r="P262" s="192"/>
      <c r="Q262" s="192"/>
    </row>
    <row r="263" spans="1:17" x14ac:dyDescent="0.3">
      <c r="A263" s="29" t="str">
        <f>$H$198</f>
        <v/>
      </c>
      <c r="B263" t="str">
        <f>IF(A263="","","Workforce demand")</f>
        <v/>
      </c>
      <c r="C263" s="16"/>
      <c r="D263" s="41" t="str">
        <f>IF($A263="","",INDEX(CONSOLIDATED!$H$88:$V$166,MATCH($A263,CONSOLIDATED!$A$88:$A$166,0),MATCH(D$244,CONSOLIDATED!$H$2:$V$2,0)))</f>
        <v/>
      </c>
      <c r="E263" s="41" t="str">
        <f>IF($A263="","",INDEX(CONSOLIDATED!$H$88:$V$166,MATCH($A263,CONSOLIDATED!$A$88:$A$166,0),MATCH(E$244,CONSOLIDATED!$H$2:$V$2,0)))</f>
        <v/>
      </c>
      <c r="F263" s="41" t="str">
        <f>IF($A263="","",INDEX(CONSOLIDATED!$H$88:$V$166,MATCH($A263,CONSOLIDATED!$A$88:$A$166,0),MATCH(F$244,CONSOLIDATED!$H$2:$V$2,0)))</f>
        <v/>
      </c>
      <c r="G263" s="41" t="str">
        <f>IF($A263="","",INDEX(CONSOLIDATED!$H$88:$V$166,MATCH($A263,CONSOLIDATED!$A$88:$A$166,0),MATCH(G$244,CONSOLIDATED!$H$2:$V$2,0)))</f>
        <v/>
      </c>
      <c r="H263" s="41" t="str">
        <f>IF($A263="","",INDEX(CONSOLIDATED!$H$88:$V$166,MATCH($A263,CONSOLIDATED!$A$88:$A$166,0),MATCH(H$244,CONSOLIDATED!$H$2:$V$2,0)))</f>
        <v/>
      </c>
      <c r="I263" s="41" t="str">
        <f>IF($A263="","",INDEX(CONSOLIDATED!$H$88:$V$166,MATCH($A263,CONSOLIDATED!$A$88:$A$166,0),MATCH(I$244,CONSOLIDATED!$H$2:$V$2,0)))</f>
        <v/>
      </c>
      <c r="J263" s="41" t="str">
        <f>IF($A263="","",INDEX(CONSOLIDATED!$H$88:$V$166,MATCH($A263,CONSOLIDATED!$A$88:$A$166,0),MATCH(J$244,CONSOLIDATED!$H$2:$V$2,0)))</f>
        <v/>
      </c>
      <c r="K263" s="41" t="str">
        <f>IF($A263="","",INDEX(CONSOLIDATED!$H$88:$V$166,MATCH($A263,CONSOLIDATED!$A$88:$A$166,0),MATCH(K$244,CONSOLIDATED!$H$2:$V$2,0)))</f>
        <v/>
      </c>
      <c r="L263" s="41" t="str">
        <f>IF($A263="","",INDEX(CONSOLIDATED!$H$88:$V$166,MATCH($A263,CONSOLIDATED!$A$88:$A$166,0),MATCH(L$244,CONSOLIDATED!$H$2:$V$2,0)))</f>
        <v/>
      </c>
      <c r="M263" s="41" t="str">
        <f>IF($A263="","",INDEX(CONSOLIDATED!$H$88:$V$166,MATCH($A263,CONSOLIDATED!$A$88:$A$166,0),MATCH(M$244,CONSOLIDATED!$H$2:$V$2,0)))</f>
        <v/>
      </c>
      <c r="N263" s="41" t="str">
        <f>IF($A263="","",INDEX(CONSOLIDATED!$H$88:$V$166,MATCH($A263,CONSOLIDATED!$A$88:$A$166,0),MATCH(N$244,CONSOLIDATED!$H$2:$V$2,0)))</f>
        <v/>
      </c>
      <c r="O263" s="41" t="str">
        <f>IF($A263="","",INDEX(CONSOLIDATED!$H$88:$V$166,MATCH($A263,CONSOLIDATED!$A$88:$A$166,0),MATCH(O$244,CONSOLIDATED!$H$2:$V$2,0)))</f>
        <v/>
      </c>
      <c r="P263" s="41" t="str">
        <f>IF($A263="","",INDEX(CONSOLIDATED!$H$88:$V$166,MATCH($A263,CONSOLIDATED!$A$88:$A$166,0),MATCH(P$244,CONSOLIDATED!$H$2:$V$2,0)))</f>
        <v/>
      </c>
      <c r="Q263" s="41" t="str">
        <f>IF($A263="","",INDEX(CONSOLIDATED!$H$88:$V$166,MATCH($A263,CONSOLIDATED!$A$88:$A$166,0),MATCH(Q$244,CONSOLIDATED!$H$2:$V$2,0)))</f>
        <v/>
      </c>
    </row>
    <row r="264" spans="1:17" x14ac:dyDescent="0.3">
      <c r="A264" s="29" t="str">
        <f>$H$198</f>
        <v/>
      </c>
      <c r="B264" t="str">
        <f>IF($A264="","","Workforce supply")</f>
        <v/>
      </c>
      <c r="C264" s="13"/>
      <c r="D264" s="41" t="str">
        <f>IF($A264="","",INDEX(CONSOLIDATED!$H$6:$V$84,MATCH($A264,CONSOLIDATED!$A$6:$A$84,0),MATCH(D$244,CONSOLIDATED!$H$2:$V$2,0)))</f>
        <v/>
      </c>
      <c r="E264" s="41" t="str">
        <f>IF($A264="","",INDEX(CONSOLIDATED!$H$6:$V$84,MATCH($A264,CONSOLIDATED!$A$6:$A$84,0),MATCH(E$244,CONSOLIDATED!$H$2:$V$2,0)))</f>
        <v/>
      </c>
      <c r="F264" s="41" t="str">
        <f>IF($A264="","",INDEX(CONSOLIDATED!$H$6:$V$84,MATCH($A264,CONSOLIDATED!$A$6:$A$84,0),MATCH(F$244,CONSOLIDATED!$H$2:$V$2,0)))</f>
        <v/>
      </c>
      <c r="G264" s="41" t="str">
        <f>IF($A264="","",INDEX(CONSOLIDATED!$H$6:$V$84,MATCH($A264,CONSOLIDATED!$A$6:$A$84,0),MATCH(G$244,CONSOLIDATED!$H$2:$V$2,0)))</f>
        <v/>
      </c>
      <c r="H264" s="41" t="str">
        <f>IF($A264="","",INDEX(CONSOLIDATED!$H$6:$V$84,MATCH($A264,CONSOLIDATED!$A$6:$A$84,0),MATCH(H$244,CONSOLIDATED!$H$2:$V$2,0)))</f>
        <v/>
      </c>
      <c r="I264" s="41" t="str">
        <f>IF($A264="","",INDEX(CONSOLIDATED!$H$6:$V$84,MATCH($A264,CONSOLIDATED!$A$6:$A$84,0),MATCH(I$244,CONSOLIDATED!$H$2:$V$2,0)))</f>
        <v/>
      </c>
      <c r="J264" s="41" t="str">
        <f>IF($A264="","",INDEX(CONSOLIDATED!$H$6:$V$84,MATCH($A264,CONSOLIDATED!$A$6:$A$84,0),MATCH(J$244,CONSOLIDATED!$H$2:$V$2,0)))</f>
        <v/>
      </c>
      <c r="K264" s="41" t="str">
        <f>IF($A264="","",INDEX(CONSOLIDATED!$H$6:$V$84,MATCH($A264,CONSOLIDATED!$A$6:$A$84,0),MATCH(K$244,CONSOLIDATED!$H$2:$V$2,0)))</f>
        <v/>
      </c>
      <c r="L264" s="41" t="str">
        <f>IF($A264="","",INDEX(CONSOLIDATED!$H$6:$V$84,MATCH($A264,CONSOLIDATED!$A$6:$A$84,0),MATCH(L$244,CONSOLIDATED!$H$2:$V$2,0)))</f>
        <v/>
      </c>
      <c r="M264" s="41" t="str">
        <f>IF($A264="","",INDEX(CONSOLIDATED!$H$6:$V$84,MATCH($A264,CONSOLIDATED!$A$6:$A$84,0),MATCH(M$244,CONSOLIDATED!$H$2:$V$2,0)))</f>
        <v/>
      </c>
      <c r="N264" s="41" t="str">
        <f>IF($A264="","",INDEX(CONSOLIDATED!$H$6:$V$84,MATCH($A264,CONSOLIDATED!$A$6:$A$84,0),MATCH(N$244,CONSOLIDATED!$H$2:$V$2,0)))</f>
        <v/>
      </c>
      <c r="O264" s="41" t="str">
        <f>IF($A264="","",INDEX(CONSOLIDATED!$H$6:$V$84,MATCH($A264,CONSOLIDATED!$A$6:$A$84,0),MATCH(O$244,CONSOLIDATED!$H$2:$V$2,0)))</f>
        <v/>
      </c>
      <c r="P264" s="41" t="str">
        <f>IF($A264="","",INDEX(CONSOLIDATED!$H$6:$V$84,MATCH($A264,CONSOLIDATED!$A$6:$A$84,0),MATCH(P$244,CONSOLIDATED!$H$2:$V$2,0)))</f>
        <v/>
      </c>
      <c r="Q264" s="41" t="str">
        <f>IF($A264="","",INDEX(CONSOLIDATED!$H$6:$V$84,MATCH($A264,CONSOLIDATED!$A$6:$A$84,0),MATCH(Q$244,CONSOLIDATED!$H$2:$V$2,0)))</f>
        <v/>
      </c>
    </row>
    <row r="265" spans="1:17" x14ac:dyDescent="0.3">
      <c r="A265" s="29"/>
      <c r="B265" t="str">
        <f>IF(B262="","","Gap (Supply less Demand)")</f>
        <v/>
      </c>
      <c r="C265" s="16"/>
      <c r="D265" s="41" t="str">
        <f t="shared" ref="D265:Q265" si="14">IFERROR(D264-D263,"")</f>
        <v/>
      </c>
      <c r="E265" s="41" t="str">
        <f t="shared" si="14"/>
        <v/>
      </c>
      <c r="F265" s="41" t="str">
        <f t="shared" si="14"/>
        <v/>
      </c>
      <c r="G265" s="41" t="str">
        <f t="shared" si="14"/>
        <v/>
      </c>
      <c r="H265" s="41" t="str">
        <f t="shared" si="14"/>
        <v/>
      </c>
      <c r="I265" s="41" t="str">
        <f t="shared" si="14"/>
        <v/>
      </c>
      <c r="J265" s="41" t="str">
        <f t="shared" si="14"/>
        <v/>
      </c>
      <c r="K265" s="41" t="str">
        <f t="shared" si="14"/>
        <v/>
      </c>
      <c r="L265" s="41" t="str">
        <f t="shared" si="14"/>
        <v/>
      </c>
      <c r="M265" s="41" t="str">
        <f t="shared" si="14"/>
        <v/>
      </c>
      <c r="N265" s="41" t="str">
        <f t="shared" si="14"/>
        <v/>
      </c>
      <c r="O265" s="41" t="str">
        <f t="shared" si="14"/>
        <v/>
      </c>
      <c r="P265" s="41" t="str">
        <f t="shared" si="14"/>
        <v/>
      </c>
      <c r="Q265" s="41" t="str">
        <f t="shared" si="14"/>
        <v/>
      </c>
    </row>
    <row r="266" spans="1:17" ht="15.5" x14ac:dyDescent="0.35">
      <c r="A266" s="29"/>
      <c r="B266" s="192" t="str">
        <f>$K$199</f>
        <v/>
      </c>
      <c r="C266" s="192"/>
      <c r="D266" s="192"/>
      <c r="E266" s="192"/>
      <c r="F266" s="192"/>
      <c r="G266" s="192"/>
      <c r="H266" s="192"/>
      <c r="I266" s="192"/>
      <c r="J266" s="192"/>
      <c r="K266" s="192"/>
      <c r="L266" s="192"/>
      <c r="M266" s="192"/>
      <c r="N266" s="192"/>
      <c r="O266" s="192"/>
      <c r="P266" s="192"/>
      <c r="Q266" s="192"/>
    </row>
    <row r="267" spans="1:17" x14ac:dyDescent="0.3">
      <c r="A267" s="29" t="str">
        <f>$H$199</f>
        <v/>
      </c>
      <c r="B267" t="str">
        <f>IF(A267="","","Workforce demand")</f>
        <v/>
      </c>
      <c r="C267" s="16"/>
      <c r="D267" s="41" t="str">
        <f>IF($A267="","",INDEX(CONSOLIDATED!$H$88:$V$166,MATCH($A267,CONSOLIDATED!$A$88:$A$166,0),MATCH(D$244,CONSOLIDATED!$H$2:$V$2,0)))</f>
        <v/>
      </c>
      <c r="E267" s="41" t="str">
        <f>IF($A267="","",INDEX(CONSOLIDATED!$H$88:$V$166,MATCH($A267,CONSOLIDATED!$A$88:$A$166,0),MATCH(E$244,CONSOLIDATED!$H$2:$V$2,0)))</f>
        <v/>
      </c>
      <c r="F267" s="41" t="str">
        <f>IF($A267="","",INDEX(CONSOLIDATED!$H$88:$V$166,MATCH($A267,CONSOLIDATED!$A$88:$A$166,0),MATCH(F$244,CONSOLIDATED!$H$2:$V$2,0)))</f>
        <v/>
      </c>
      <c r="G267" s="41" t="str">
        <f>IF($A267="","",INDEX(CONSOLIDATED!$H$88:$V$166,MATCH($A267,CONSOLIDATED!$A$88:$A$166,0),MATCH(G$244,CONSOLIDATED!$H$2:$V$2,0)))</f>
        <v/>
      </c>
      <c r="H267" s="41" t="str">
        <f>IF($A267="","",INDEX(CONSOLIDATED!$H$88:$V$166,MATCH($A267,CONSOLIDATED!$A$88:$A$166,0),MATCH(H$244,CONSOLIDATED!$H$2:$V$2,0)))</f>
        <v/>
      </c>
      <c r="I267" s="41" t="str">
        <f>IF($A267="","",INDEX(CONSOLIDATED!$H$88:$V$166,MATCH($A267,CONSOLIDATED!$A$88:$A$166,0),MATCH(I$244,CONSOLIDATED!$H$2:$V$2,0)))</f>
        <v/>
      </c>
      <c r="J267" s="41" t="str">
        <f>IF($A267="","",INDEX(CONSOLIDATED!$H$88:$V$166,MATCH($A267,CONSOLIDATED!$A$88:$A$166,0),MATCH(J$244,CONSOLIDATED!$H$2:$V$2,0)))</f>
        <v/>
      </c>
      <c r="K267" s="41" t="str">
        <f>IF($A267="","",INDEX(CONSOLIDATED!$H$88:$V$166,MATCH($A267,CONSOLIDATED!$A$88:$A$166,0),MATCH(K$244,CONSOLIDATED!$H$2:$V$2,0)))</f>
        <v/>
      </c>
      <c r="L267" s="41" t="str">
        <f>IF($A267="","",INDEX(CONSOLIDATED!$H$88:$V$166,MATCH($A267,CONSOLIDATED!$A$88:$A$166,0),MATCH(L$244,CONSOLIDATED!$H$2:$V$2,0)))</f>
        <v/>
      </c>
      <c r="M267" s="41" t="str">
        <f>IF($A267="","",INDEX(CONSOLIDATED!$H$88:$V$166,MATCH($A267,CONSOLIDATED!$A$88:$A$166,0),MATCH(M$244,CONSOLIDATED!$H$2:$V$2,0)))</f>
        <v/>
      </c>
      <c r="N267" s="41" t="str">
        <f>IF($A267="","",INDEX(CONSOLIDATED!$H$88:$V$166,MATCH($A267,CONSOLIDATED!$A$88:$A$166,0),MATCH(N$244,CONSOLIDATED!$H$2:$V$2,0)))</f>
        <v/>
      </c>
      <c r="O267" s="41" t="str">
        <f>IF($A267="","",INDEX(CONSOLIDATED!$H$88:$V$166,MATCH($A267,CONSOLIDATED!$A$88:$A$166,0),MATCH(O$244,CONSOLIDATED!$H$2:$V$2,0)))</f>
        <v/>
      </c>
      <c r="P267" s="41" t="str">
        <f>IF($A267="","",INDEX(CONSOLIDATED!$H$88:$V$166,MATCH($A267,CONSOLIDATED!$A$88:$A$166,0),MATCH(P$244,CONSOLIDATED!$H$2:$V$2,0)))</f>
        <v/>
      </c>
      <c r="Q267" s="41" t="str">
        <f>IF($A267="","",INDEX(CONSOLIDATED!$H$88:$V$166,MATCH($A267,CONSOLIDATED!$A$88:$A$166,0),MATCH(Q$244,CONSOLIDATED!$H$2:$V$2,0)))</f>
        <v/>
      </c>
    </row>
    <row r="268" spans="1:17" x14ac:dyDescent="0.3">
      <c r="A268" s="29" t="str">
        <f>$H$199</f>
        <v/>
      </c>
      <c r="B268" t="str">
        <f>IF($A268="","","Workforce supply")</f>
        <v/>
      </c>
      <c r="C268" s="13"/>
      <c r="D268" s="41" t="str">
        <f>IF($A268="","",INDEX(CONSOLIDATED!$H$6:$V$84,MATCH($A268,CONSOLIDATED!$A$6:$A$84,0),MATCH(D$244,CONSOLIDATED!$H$2:$V$2,0)))</f>
        <v/>
      </c>
      <c r="E268" s="41" t="str">
        <f>IF($A268="","",INDEX(CONSOLIDATED!$H$6:$V$84,MATCH($A268,CONSOLIDATED!$A$6:$A$84,0),MATCH(E$244,CONSOLIDATED!$H$2:$V$2,0)))</f>
        <v/>
      </c>
      <c r="F268" s="41" t="str">
        <f>IF($A268="","",INDEX(CONSOLIDATED!$H$6:$V$84,MATCH($A268,CONSOLIDATED!$A$6:$A$84,0),MATCH(F$244,CONSOLIDATED!$H$2:$V$2,0)))</f>
        <v/>
      </c>
      <c r="G268" s="41" t="str">
        <f>IF($A268="","",INDEX(CONSOLIDATED!$H$6:$V$84,MATCH($A268,CONSOLIDATED!$A$6:$A$84,0),MATCH(G$244,CONSOLIDATED!$H$2:$V$2,0)))</f>
        <v/>
      </c>
      <c r="H268" s="41" t="str">
        <f>IF($A268="","",INDEX(CONSOLIDATED!$H$6:$V$84,MATCH($A268,CONSOLIDATED!$A$6:$A$84,0),MATCH(H$244,CONSOLIDATED!$H$2:$V$2,0)))</f>
        <v/>
      </c>
      <c r="I268" s="41" t="str">
        <f>IF($A268="","",INDEX(CONSOLIDATED!$H$6:$V$84,MATCH($A268,CONSOLIDATED!$A$6:$A$84,0),MATCH(I$244,CONSOLIDATED!$H$2:$V$2,0)))</f>
        <v/>
      </c>
      <c r="J268" s="41" t="str">
        <f>IF($A268="","",INDEX(CONSOLIDATED!$H$6:$V$84,MATCH($A268,CONSOLIDATED!$A$6:$A$84,0),MATCH(J$244,CONSOLIDATED!$H$2:$V$2,0)))</f>
        <v/>
      </c>
      <c r="K268" s="41" t="str">
        <f>IF($A268="","",INDEX(CONSOLIDATED!$H$6:$V$84,MATCH($A268,CONSOLIDATED!$A$6:$A$84,0),MATCH(K$244,CONSOLIDATED!$H$2:$V$2,0)))</f>
        <v/>
      </c>
      <c r="L268" s="41" t="str">
        <f>IF($A268="","",INDEX(CONSOLIDATED!$H$6:$V$84,MATCH($A268,CONSOLIDATED!$A$6:$A$84,0),MATCH(L$244,CONSOLIDATED!$H$2:$V$2,0)))</f>
        <v/>
      </c>
      <c r="M268" s="41" t="str">
        <f>IF($A268="","",INDEX(CONSOLIDATED!$H$6:$V$84,MATCH($A268,CONSOLIDATED!$A$6:$A$84,0),MATCH(M$244,CONSOLIDATED!$H$2:$V$2,0)))</f>
        <v/>
      </c>
      <c r="N268" s="41" t="str">
        <f>IF($A268="","",INDEX(CONSOLIDATED!$H$6:$V$84,MATCH($A268,CONSOLIDATED!$A$6:$A$84,0),MATCH(N$244,CONSOLIDATED!$H$2:$V$2,0)))</f>
        <v/>
      </c>
      <c r="O268" s="41" t="str">
        <f>IF($A268="","",INDEX(CONSOLIDATED!$H$6:$V$84,MATCH($A268,CONSOLIDATED!$A$6:$A$84,0),MATCH(O$244,CONSOLIDATED!$H$2:$V$2,0)))</f>
        <v/>
      </c>
      <c r="P268" s="41" t="str">
        <f>IF($A268="","",INDEX(CONSOLIDATED!$H$6:$V$84,MATCH($A268,CONSOLIDATED!$A$6:$A$84,0),MATCH(P$244,CONSOLIDATED!$H$2:$V$2,0)))</f>
        <v/>
      </c>
      <c r="Q268" s="41" t="str">
        <f>IF($A268="","",INDEX(CONSOLIDATED!$H$6:$V$84,MATCH($A268,CONSOLIDATED!$A$6:$A$84,0),MATCH(Q$244,CONSOLIDATED!$H$2:$V$2,0)))</f>
        <v/>
      </c>
    </row>
    <row r="269" spans="1:17" x14ac:dyDescent="0.3">
      <c r="A269" s="29"/>
      <c r="B269" t="str">
        <f>IF(B266="","","Gap (Supply less Demand)")</f>
        <v/>
      </c>
      <c r="C269" s="16"/>
      <c r="D269" s="41" t="str">
        <f t="shared" ref="D269:Q269" si="15">IFERROR(D268-D267,"")</f>
        <v/>
      </c>
      <c r="E269" s="41" t="str">
        <f t="shared" si="15"/>
        <v/>
      </c>
      <c r="F269" s="41" t="str">
        <f t="shared" si="15"/>
        <v/>
      </c>
      <c r="G269" s="41" t="str">
        <f t="shared" si="15"/>
        <v/>
      </c>
      <c r="H269" s="41" t="str">
        <f t="shared" si="15"/>
        <v/>
      </c>
      <c r="I269" s="41" t="str">
        <f t="shared" si="15"/>
        <v/>
      </c>
      <c r="J269" s="41" t="str">
        <f t="shared" si="15"/>
        <v/>
      </c>
      <c r="K269" s="41" t="str">
        <f t="shared" si="15"/>
        <v/>
      </c>
      <c r="L269" s="41" t="str">
        <f t="shared" si="15"/>
        <v/>
      </c>
      <c r="M269" s="41" t="str">
        <f t="shared" si="15"/>
        <v/>
      </c>
      <c r="N269" s="41" t="str">
        <f t="shared" si="15"/>
        <v/>
      </c>
      <c r="O269" s="41" t="str">
        <f t="shared" si="15"/>
        <v/>
      </c>
      <c r="P269" s="41" t="str">
        <f t="shared" si="15"/>
        <v/>
      </c>
      <c r="Q269" s="41" t="str">
        <f t="shared" si="15"/>
        <v/>
      </c>
    </row>
    <row r="270" spans="1:17" x14ac:dyDescent="0.3">
      <c r="A270" s="29"/>
      <c r="C270" s="16"/>
      <c r="D270" s="41"/>
      <c r="E270" s="41"/>
      <c r="F270" s="41"/>
      <c r="G270" s="41"/>
      <c r="H270" s="41"/>
      <c r="I270" s="41"/>
      <c r="J270" s="41"/>
      <c r="K270" s="41"/>
      <c r="L270" s="41"/>
      <c r="M270" s="41"/>
      <c r="N270" s="41"/>
      <c r="O270" s="41"/>
      <c r="P270" s="41"/>
      <c r="Q270" s="41"/>
    </row>
    <row r="271" spans="1:17" x14ac:dyDescent="0.3">
      <c r="A271" s="29"/>
      <c r="B271" s="3" t="str">
        <f>IF(B244="","Source: ACIL Allen","")</f>
        <v>Source: ACIL Allen</v>
      </c>
      <c r="C271" s="16"/>
      <c r="D271" s="41"/>
      <c r="E271" s="41"/>
      <c r="F271" s="41"/>
      <c r="G271" s="41"/>
      <c r="H271" s="41"/>
      <c r="I271" s="41"/>
      <c r="J271" s="41"/>
      <c r="K271" s="41"/>
      <c r="L271" s="41"/>
      <c r="M271" s="41"/>
      <c r="N271" s="41"/>
      <c r="O271" s="41"/>
      <c r="P271" s="41"/>
      <c r="Q271" s="41"/>
    </row>
    <row r="272" spans="1:17" x14ac:dyDescent="0.3"/>
    <row r="273" spans="1:18" x14ac:dyDescent="0.3"/>
    <row r="274" spans="1:18" ht="23" thickBot="1" x14ac:dyDescent="0.5">
      <c r="A274" s="38" t="s">
        <v>258</v>
      </c>
      <c r="B274" s="25"/>
      <c r="C274" s="25"/>
      <c r="D274" s="25"/>
      <c r="E274" s="25"/>
      <c r="F274" s="25"/>
      <c r="G274" s="25"/>
      <c r="H274" s="25"/>
      <c r="I274" s="25"/>
      <c r="J274" s="25"/>
      <c r="K274" s="25"/>
      <c r="L274" s="25"/>
      <c r="M274" s="25"/>
      <c r="N274" s="25"/>
      <c r="O274" s="25"/>
      <c r="P274" s="25"/>
      <c r="Q274" s="25"/>
      <c r="R274" s="25"/>
    </row>
    <row r="275" spans="1:18" ht="14.5" thickTop="1" x14ac:dyDescent="0.3"/>
    <row r="276" spans="1:18" x14ac:dyDescent="0.3"/>
    <row r="277" spans="1:18" ht="18" x14ac:dyDescent="0.4">
      <c r="A277" s="55" t="s">
        <v>257</v>
      </c>
    </row>
    <row r="278" spans="1:18" x14ac:dyDescent="0.3">
      <c r="A278" s="12" t="s">
        <v>255</v>
      </c>
      <c r="B278" s="12"/>
      <c r="C278" s="12"/>
      <c r="D278" s="12" t="s">
        <v>256</v>
      </c>
      <c r="E278" s="12"/>
      <c r="F278" s="12"/>
      <c r="G278" s="12"/>
      <c r="H278" s="12"/>
      <c r="I278" s="12"/>
      <c r="J278" s="12"/>
      <c r="K278" s="12"/>
      <c r="L278" s="12"/>
      <c r="M278" s="12"/>
      <c r="N278" s="12"/>
      <c r="O278" s="12"/>
      <c r="P278" s="12"/>
      <c r="Q278" s="12"/>
      <c r="R278" s="12"/>
    </row>
    <row r="279" spans="1:18" x14ac:dyDescent="0.3">
      <c r="A279" s="30" t="s">
        <v>264</v>
      </c>
      <c r="B279" s="30"/>
      <c r="C279" s="30"/>
      <c r="D279" s="30"/>
      <c r="E279" s="30"/>
      <c r="F279" s="30"/>
      <c r="G279" s="30"/>
      <c r="H279" s="30"/>
      <c r="I279" s="30"/>
      <c r="J279" s="30"/>
      <c r="K279" s="30"/>
      <c r="L279" s="30"/>
      <c r="M279" s="30"/>
      <c r="N279" s="30"/>
      <c r="O279" s="30"/>
      <c r="P279" s="30"/>
      <c r="Q279" s="30"/>
      <c r="R279" s="30"/>
    </row>
    <row r="280" spans="1:18" x14ac:dyDescent="0.3">
      <c r="A280" t="s">
        <v>261</v>
      </c>
      <c r="D280" t="s">
        <v>465</v>
      </c>
    </row>
    <row r="281" spans="1:18" x14ac:dyDescent="0.3">
      <c r="A281" t="s">
        <v>463</v>
      </c>
      <c r="D281" t="s">
        <v>466</v>
      </c>
    </row>
    <row r="282" spans="1:18" x14ac:dyDescent="0.3">
      <c r="A282" t="s">
        <v>464</v>
      </c>
      <c r="D282" t="s">
        <v>468</v>
      </c>
    </row>
    <row r="283" spans="1:18" x14ac:dyDescent="0.3">
      <c r="A283" t="s">
        <v>262</v>
      </c>
      <c r="D283" t="s">
        <v>265</v>
      </c>
    </row>
    <row r="284" spans="1:18" x14ac:dyDescent="0.3">
      <c r="A284" t="s">
        <v>263</v>
      </c>
      <c r="D284" t="s">
        <v>467</v>
      </c>
    </row>
    <row r="285" spans="1:18" x14ac:dyDescent="0.3">
      <c r="A285" t="s">
        <v>437</v>
      </c>
      <c r="D285" t="s">
        <v>469</v>
      </c>
    </row>
    <row r="286" spans="1:18" x14ac:dyDescent="0.3">
      <c r="A286" s="30" t="s">
        <v>296</v>
      </c>
      <c r="B286" s="30"/>
      <c r="C286" s="30"/>
      <c r="D286" s="30"/>
      <c r="E286" s="30"/>
      <c r="F286" s="30"/>
      <c r="G286" s="30"/>
      <c r="H286" s="30"/>
      <c r="I286" s="30"/>
      <c r="J286" s="30"/>
      <c r="K286" s="30"/>
      <c r="L286" s="30"/>
      <c r="M286" s="30"/>
      <c r="N286" s="30"/>
      <c r="O286" s="30"/>
      <c r="P286" s="30"/>
      <c r="Q286" s="30"/>
      <c r="R286" s="30"/>
    </row>
    <row r="287" spans="1:18" x14ac:dyDescent="0.3">
      <c r="A287" t="s">
        <v>222</v>
      </c>
      <c r="D287" s="187" t="s">
        <v>267</v>
      </c>
      <c r="E287" s="187"/>
      <c r="F287" s="187"/>
      <c r="G287" s="187"/>
      <c r="H287" s="187"/>
      <c r="I287" s="187"/>
      <c r="J287" s="187"/>
      <c r="K287" s="187"/>
      <c r="L287" s="187"/>
      <c r="M287" s="187"/>
      <c r="N287" s="187"/>
      <c r="O287" s="187"/>
      <c r="P287" s="187"/>
      <c r="Q287" s="187"/>
    </row>
    <row r="288" spans="1:18" ht="39.75" customHeight="1" x14ac:dyDescent="0.3">
      <c r="A288" s="46" t="s">
        <v>224</v>
      </c>
      <c r="D288" s="186" t="s">
        <v>266</v>
      </c>
      <c r="E288" s="186"/>
      <c r="F288" s="186"/>
      <c r="G288" s="186"/>
      <c r="H288" s="186"/>
      <c r="I288" s="186"/>
      <c r="J288" s="186"/>
      <c r="K288" s="186"/>
      <c r="L288" s="186"/>
      <c r="M288" s="186"/>
      <c r="N288" s="186"/>
      <c r="O288" s="186"/>
      <c r="P288" s="186"/>
      <c r="Q288" s="186"/>
    </row>
    <row r="289" spans="1:17" x14ac:dyDescent="0.3">
      <c r="A289" t="s">
        <v>221</v>
      </c>
      <c r="D289" s="187" t="s">
        <v>268</v>
      </c>
      <c r="E289" s="187"/>
      <c r="F289" s="187"/>
      <c r="G289" s="187"/>
      <c r="H289" s="187"/>
      <c r="I289" s="187"/>
      <c r="J289" s="187"/>
      <c r="K289" s="187"/>
      <c r="L289" s="187"/>
      <c r="M289" s="187"/>
      <c r="N289" s="187"/>
      <c r="O289" s="187"/>
      <c r="P289" s="187"/>
      <c r="Q289" s="187"/>
    </row>
    <row r="290" spans="1:17" x14ac:dyDescent="0.3"/>
    <row r="291" spans="1:17" x14ac:dyDescent="0.3"/>
    <row r="292" spans="1:17" ht="18" x14ac:dyDescent="0.4">
      <c r="A292" s="55" t="s">
        <v>259</v>
      </c>
    </row>
    <row r="293" spans="1:17" x14ac:dyDescent="0.3">
      <c r="A293" s="12"/>
      <c r="B293" s="12"/>
      <c r="C293" s="48" t="s">
        <v>260</v>
      </c>
      <c r="D293" s="48"/>
      <c r="E293" s="48"/>
      <c r="F293" s="48"/>
      <c r="G293" s="12" t="s">
        <v>278</v>
      </c>
      <c r="H293" s="12"/>
      <c r="I293" s="12"/>
    </row>
    <row r="294" spans="1:17" x14ac:dyDescent="0.3">
      <c r="A294" s="30" t="s">
        <v>280</v>
      </c>
      <c r="B294" s="44"/>
      <c r="C294" s="49"/>
      <c r="D294" s="49"/>
      <c r="E294" s="49"/>
      <c r="F294" s="49"/>
      <c r="G294" s="44"/>
      <c r="H294" s="44"/>
      <c r="I294" s="44"/>
    </row>
    <row r="295" spans="1:17" x14ac:dyDescent="0.3">
      <c r="A295" t="s">
        <v>269</v>
      </c>
      <c r="C295" s="50" t="s">
        <v>270</v>
      </c>
      <c r="D295" s="50"/>
      <c r="E295" s="50"/>
      <c r="F295" s="50"/>
      <c r="G295" t="s">
        <v>372</v>
      </c>
    </row>
    <row r="296" spans="1:17" x14ac:dyDescent="0.3">
      <c r="A296" t="s">
        <v>219</v>
      </c>
      <c r="C296" s="50" t="s">
        <v>270</v>
      </c>
      <c r="D296" s="50"/>
      <c r="E296" s="50"/>
      <c r="F296" s="50"/>
      <c r="G296" t="s">
        <v>372</v>
      </c>
    </row>
    <row r="297" spans="1:17" x14ac:dyDescent="0.3">
      <c r="A297" s="30" t="s">
        <v>279</v>
      </c>
      <c r="B297" s="44"/>
      <c r="C297" s="49"/>
      <c r="D297" s="49"/>
      <c r="E297" s="49"/>
      <c r="F297" s="49"/>
      <c r="G297" s="44"/>
      <c r="H297" s="44"/>
      <c r="I297" s="44"/>
    </row>
    <row r="298" spans="1:17" x14ac:dyDescent="0.3">
      <c r="A298" t="s">
        <v>272</v>
      </c>
      <c r="C298" s="50" t="s">
        <v>271</v>
      </c>
      <c r="D298" s="50"/>
      <c r="E298" s="50"/>
      <c r="F298" s="50"/>
      <c r="G298" t="s">
        <v>372</v>
      </c>
    </row>
    <row r="299" spans="1:17" x14ac:dyDescent="0.3">
      <c r="A299" t="s">
        <v>273</v>
      </c>
      <c r="C299" s="50" t="s">
        <v>274</v>
      </c>
      <c r="D299" s="50"/>
      <c r="E299" s="50"/>
      <c r="F299" s="50"/>
      <c r="G299" t="s">
        <v>282</v>
      </c>
    </row>
    <row r="300" spans="1:17" x14ac:dyDescent="0.3">
      <c r="A300" t="s">
        <v>220</v>
      </c>
      <c r="C300" s="50" t="s">
        <v>271</v>
      </c>
      <c r="D300" s="50"/>
      <c r="E300" s="50"/>
      <c r="F300" s="50"/>
      <c r="G300" s="47">
        <v>2016</v>
      </c>
    </row>
    <row r="301" spans="1:17" x14ac:dyDescent="0.3">
      <c r="A301" t="s">
        <v>190</v>
      </c>
      <c r="C301" s="50" t="s">
        <v>271</v>
      </c>
      <c r="D301" s="50"/>
      <c r="E301" s="50"/>
      <c r="F301" s="50"/>
      <c r="G301" t="s">
        <v>372</v>
      </c>
    </row>
    <row r="302" spans="1:17" x14ac:dyDescent="0.3">
      <c r="A302" s="30" t="s">
        <v>281</v>
      </c>
      <c r="B302" s="44"/>
      <c r="C302" s="49"/>
      <c r="D302" s="49"/>
      <c r="E302" s="49"/>
      <c r="F302" s="49"/>
      <c r="G302" s="44"/>
      <c r="H302" s="44"/>
      <c r="I302" s="44"/>
    </row>
    <row r="303" spans="1:17" x14ac:dyDescent="0.3">
      <c r="A303" t="s">
        <v>275</v>
      </c>
      <c r="C303" s="50" t="s">
        <v>270</v>
      </c>
      <c r="D303" s="50"/>
      <c r="E303" s="50"/>
      <c r="F303" s="50"/>
      <c r="G303" t="s">
        <v>372</v>
      </c>
    </row>
    <row r="304" spans="1:17" x14ac:dyDescent="0.3">
      <c r="A304" t="s">
        <v>276</v>
      </c>
      <c r="C304" s="50" t="s">
        <v>270</v>
      </c>
      <c r="D304" s="50"/>
      <c r="E304" s="50"/>
      <c r="F304" s="50"/>
      <c r="G304" t="s">
        <v>372</v>
      </c>
    </row>
    <row r="305" spans="1:7" x14ac:dyDescent="0.3">
      <c r="A305" t="s">
        <v>277</v>
      </c>
      <c r="C305" s="50" t="s">
        <v>270</v>
      </c>
      <c r="D305" s="50"/>
      <c r="E305" s="50"/>
      <c r="F305" s="50"/>
      <c r="G305" t="s">
        <v>372</v>
      </c>
    </row>
    <row r="306" spans="1:7" x14ac:dyDescent="0.3">
      <c r="A306" t="s">
        <v>110</v>
      </c>
      <c r="C306" s="50" t="s">
        <v>270</v>
      </c>
      <c r="D306" s="50"/>
      <c r="E306" s="50"/>
      <c r="F306" s="50"/>
      <c r="G306" t="s">
        <v>372</v>
      </c>
    </row>
    <row r="307" spans="1:7" x14ac:dyDescent="0.3">
      <c r="A307" s="46" t="s">
        <v>314</v>
      </c>
      <c r="C307" s="50" t="s">
        <v>470</v>
      </c>
      <c r="D307" s="164"/>
      <c r="E307" s="164"/>
      <c r="F307" s="164"/>
      <c r="G307" s="46" t="s">
        <v>372</v>
      </c>
    </row>
    <row r="308" spans="1:7" ht="33.75" customHeight="1" x14ac:dyDescent="0.3"/>
    <row r="309" spans="1:7" x14ac:dyDescent="0.3"/>
    <row r="310" spans="1:7" x14ac:dyDescent="0.3"/>
    <row r="311" spans="1:7" ht="16.5" hidden="1" x14ac:dyDescent="0.3"/>
    <row r="312" spans="1:7" ht="16.5" hidden="1" x14ac:dyDescent="0.3"/>
    <row r="313" spans="1:7" ht="16.5" hidden="1" x14ac:dyDescent="0.3"/>
    <row r="314" spans="1:7" ht="16.5" hidden="1" x14ac:dyDescent="0.3"/>
    <row r="315" spans="1:7" ht="16.5" hidden="1" x14ac:dyDescent="0.3"/>
    <row r="316" spans="1:7" ht="16.5" hidden="1" x14ac:dyDescent="0.3"/>
    <row r="317" spans="1:7" ht="16.5" hidden="1" x14ac:dyDescent="0.3"/>
    <row r="318" spans="1:7" ht="16.5" hidden="1" x14ac:dyDescent="0.3"/>
    <row r="319" spans="1:7" ht="16.5" hidden="1" x14ac:dyDescent="0.3"/>
    <row r="320" spans="1:7" ht="16.5" hidden="1" x14ac:dyDescent="0.3"/>
    <row r="321" ht="16.5" hidden="1" x14ac:dyDescent="0.3"/>
    <row r="322" ht="16.5" hidden="1" x14ac:dyDescent="0.3"/>
    <row r="323" ht="16.5" hidden="1" x14ac:dyDescent="0.3"/>
    <row r="324" ht="16.5" hidden="1" x14ac:dyDescent="0.3"/>
    <row r="325" ht="16.5" hidden="1" x14ac:dyDescent="0.3"/>
    <row r="326" ht="16.5" hidden="1" x14ac:dyDescent="0.3"/>
    <row r="327" ht="16.5" hidden="1" x14ac:dyDescent="0.3"/>
    <row r="328" ht="16.5" hidden="1" x14ac:dyDescent="0.3"/>
    <row r="329" ht="16.5" hidden="1" x14ac:dyDescent="0.3"/>
    <row r="330" ht="16.5" hidden="1" x14ac:dyDescent="0.3"/>
    <row r="331" ht="16.5" hidden="1" x14ac:dyDescent="0.3"/>
    <row r="332" ht="16.5" hidden="1" x14ac:dyDescent="0.3"/>
    <row r="333" ht="16.5" hidden="1" x14ac:dyDescent="0.3"/>
    <row r="334" ht="16.5" hidden="1" x14ac:dyDescent="0.3"/>
    <row r="335" ht="16.5" hidden="1" x14ac:dyDescent="0.3"/>
    <row r="336" ht="16.5" hidden="1" x14ac:dyDescent="0.3"/>
    <row r="337" ht="16.5" hidden="1" x14ac:dyDescent="0.3"/>
    <row r="338" ht="16.5" hidden="1" x14ac:dyDescent="0.3"/>
    <row r="339" ht="16.5" hidden="1" x14ac:dyDescent="0.3"/>
    <row r="340" ht="16.5" hidden="1" x14ac:dyDescent="0.3"/>
    <row r="341" ht="16.5" hidden="1" x14ac:dyDescent="0.3"/>
    <row r="342" ht="16.5" hidden="1" x14ac:dyDescent="0.3"/>
    <row r="343" ht="16.5" hidden="1" x14ac:dyDescent="0.3"/>
    <row r="344" ht="16.5" hidden="1" x14ac:dyDescent="0.3"/>
    <row r="345" ht="16.5" hidden="1" x14ac:dyDescent="0.3"/>
    <row r="346" ht="16.5" hidden="1" x14ac:dyDescent="0.3"/>
    <row r="347" ht="16.5" hidden="1" x14ac:dyDescent="0.3"/>
    <row r="348" ht="16.5" hidden="1" x14ac:dyDescent="0.3"/>
    <row r="349" ht="16.5" hidden="1" x14ac:dyDescent="0.3"/>
    <row r="350" ht="16.5" hidden="1" x14ac:dyDescent="0.3"/>
    <row r="351" ht="16.5" hidden="1" x14ac:dyDescent="0.3"/>
    <row r="352" ht="16.5" hidden="1" x14ac:dyDescent="0.3"/>
    <row r="353" ht="16.5" hidden="1" x14ac:dyDescent="0.3"/>
    <row r="354" ht="16.5" hidden="1" x14ac:dyDescent="0.3"/>
    <row r="355" ht="16.5" hidden="1" x14ac:dyDescent="0.3"/>
    <row r="356" ht="16.5" hidden="1" x14ac:dyDescent="0.3"/>
    <row r="357" ht="16.5" hidden="1" x14ac:dyDescent="0.3"/>
    <row r="358" ht="16.5" hidden="1" x14ac:dyDescent="0.3"/>
    <row r="359" ht="16.5" hidden="1" x14ac:dyDescent="0.3"/>
    <row r="360" ht="16.5" hidden="1" x14ac:dyDescent="0.3"/>
    <row r="361" ht="16.5" hidden="1" x14ac:dyDescent="0.3"/>
    <row r="362" ht="16.5" hidden="1" x14ac:dyDescent="0.3"/>
    <row r="363" ht="16.5" hidden="1" x14ac:dyDescent="0.3"/>
    <row r="364" ht="16.5" hidden="1" x14ac:dyDescent="0.3"/>
    <row r="365" ht="16.5" hidden="1" x14ac:dyDescent="0.3"/>
    <row r="366" ht="16.5" hidden="1" x14ac:dyDescent="0.3"/>
    <row r="367" ht="16.5" hidden="1" x14ac:dyDescent="0.3"/>
    <row r="368" ht="16.5" hidden="1" x14ac:dyDescent="0.3"/>
    <row r="369" ht="16.5" hidden="1" x14ac:dyDescent="0.3"/>
    <row r="370" ht="16.5" hidden="1" x14ac:dyDescent="0.3"/>
    <row r="371" ht="16.5" hidden="1" x14ac:dyDescent="0.3"/>
    <row r="372" ht="16.5" hidden="1" x14ac:dyDescent="0.3"/>
    <row r="373" ht="16.5" hidden="1" x14ac:dyDescent="0.3"/>
    <row r="374" ht="16.5" hidden="1" x14ac:dyDescent="0.3"/>
    <row r="375" ht="16.5" hidden="1" x14ac:dyDescent="0.3"/>
    <row r="376" ht="16.5" hidden="1" x14ac:dyDescent="0.3"/>
    <row r="377" ht="16.5" hidden="1" x14ac:dyDescent="0.3"/>
    <row r="378" ht="16.5" hidden="1" x14ac:dyDescent="0.3"/>
    <row r="379" ht="16.5" hidden="1" x14ac:dyDescent="0.3"/>
    <row r="380" ht="16.5" hidden="1" x14ac:dyDescent="0.3"/>
    <row r="381" ht="16.5" hidden="1" x14ac:dyDescent="0.3"/>
    <row r="382" ht="16.5" hidden="1" x14ac:dyDescent="0.3"/>
    <row r="383" ht="16.5" hidden="1" x14ac:dyDescent="0.3"/>
    <row r="384" ht="16.5" hidden="1" x14ac:dyDescent="0.3"/>
    <row r="385" ht="16.5" hidden="1" x14ac:dyDescent="0.3"/>
    <row r="386" ht="16.5" hidden="1" x14ac:dyDescent="0.3"/>
    <row r="387" ht="16.5" hidden="1" x14ac:dyDescent="0.3"/>
    <row r="388" ht="16.5" hidden="1" x14ac:dyDescent="0.3"/>
    <row r="389" ht="16.5" hidden="1" x14ac:dyDescent="0.3"/>
    <row r="390" ht="16.5" hidden="1" x14ac:dyDescent="0.3"/>
    <row r="391" ht="16.5" hidden="1" x14ac:dyDescent="0.3"/>
    <row r="392" ht="16.5" hidden="1" x14ac:dyDescent="0.3"/>
    <row r="393" ht="16.5" hidden="1" x14ac:dyDescent="0.3"/>
    <row r="394" ht="16.5" hidden="1" x14ac:dyDescent="0.3"/>
    <row r="395" ht="16.5" hidden="1" x14ac:dyDescent="0.3"/>
    <row r="396" ht="16.5" hidden="1" x14ac:dyDescent="0.3"/>
    <row r="397" ht="16.5" hidden="1" x14ac:dyDescent="0.3"/>
    <row r="398" ht="16.5" hidden="1" x14ac:dyDescent="0.3"/>
    <row r="399" ht="16.5" hidden="1" x14ac:dyDescent="0.3"/>
    <row r="400" ht="16.5" hidden="1" x14ac:dyDescent="0.3"/>
    <row r="401" ht="16.5" hidden="1" x14ac:dyDescent="0.3"/>
    <row r="402" ht="16.5" hidden="1" x14ac:dyDescent="0.3"/>
    <row r="403" ht="16.5" hidden="1" x14ac:dyDescent="0.3"/>
    <row r="404" ht="16.5" hidden="1" x14ac:dyDescent="0.3"/>
    <row r="405" ht="16.5" hidden="1" x14ac:dyDescent="0.3"/>
    <row r="406" ht="16.5" hidden="1" x14ac:dyDescent="0.3"/>
    <row r="407" ht="16.5" hidden="1" x14ac:dyDescent="0.3"/>
    <row r="408" ht="16.5" hidden="1" x14ac:dyDescent="0.3"/>
    <row r="409" ht="16.5" hidden="1" x14ac:dyDescent="0.3"/>
    <row r="410" ht="16.5" hidden="1" x14ac:dyDescent="0.3"/>
    <row r="411" ht="16.5" hidden="1" x14ac:dyDescent="0.3"/>
    <row r="412" ht="16.5" hidden="1" x14ac:dyDescent="0.3"/>
    <row r="413" ht="16.5" hidden="1" x14ac:dyDescent="0.3"/>
    <row r="414" ht="16.5" hidden="1" x14ac:dyDescent="0.3"/>
    <row r="415" ht="16.5" hidden="1" x14ac:dyDescent="0.3"/>
    <row r="416" ht="16.5" hidden="1" x14ac:dyDescent="0.3"/>
    <row r="417" ht="16.5" hidden="1" x14ac:dyDescent="0.3"/>
    <row r="418" ht="16.5" hidden="1" x14ac:dyDescent="0.3"/>
    <row r="419" ht="16.5" hidden="1" x14ac:dyDescent="0.3"/>
    <row r="420" ht="16.5" hidden="1" x14ac:dyDescent="0.3"/>
    <row r="421" ht="16.5" hidden="1" x14ac:dyDescent="0.3"/>
    <row r="422" ht="16.5" hidden="1" x14ac:dyDescent="0.3"/>
    <row r="423" ht="16.5" hidden="1" x14ac:dyDescent="0.3"/>
    <row r="424" ht="16.5" hidden="1" x14ac:dyDescent="0.3"/>
    <row r="425" ht="16.5" hidden="1" x14ac:dyDescent="0.3"/>
    <row r="426" ht="16.5" hidden="1" x14ac:dyDescent="0.3"/>
    <row r="427" ht="16.5" hidden="1" x14ac:dyDescent="0.3"/>
    <row r="428" ht="16.5" hidden="1" x14ac:dyDescent="0.3"/>
    <row r="429" ht="16.5" hidden="1" x14ac:dyDescent="0.3"/>
    <row r="430" ht="16.5" hidden="1" x14ac:dyDescent="0.3"/>
    <row r="431" ht="16.5" hidden="1" x14ac:dyDescent="0.3"/>
    <row r="432" ht="16.5" hidden="1" x14ac:dyDescent="0.3"/>
    <row r="433" ht="16.5" hidden="1" x14ac:dyDescent="0.3"/>
    <row r="434" ht="16.5" hidden="1" x14ac:dyDescent="0.3"/>
    <row r="435" ht="16.5" hidden="1" x14ac:dyDescent="0.3"/>
    <row r="436" ht="16.5" hidden="1" x14ac:dyDescent="0.3"/>
    <row r="437" ht="16.5" hidden="1" x14ac:dyDescent="0.3"/>
    <row r="438" ht="16.5" hidden="1" x14ac:dyDescent="0.3"/>
    <row r="439" ht="16.5" hidden="1" x14ac:dyDescent="0.3"/>
    <row r="440" ht="16.5" hidden="1" x14ac:dyDescent="0.3"/>
    <row r="441" ht="16.5" hidden="1" x14ac:dyDescent="0.3"/>
    <row r="442" ht="16.5" hidden="1" x14ac:dyDescent="0.3"/>
    <row r="443" ht="16.5" hidden="1" x14ac:dyDescent="0.3"/>
    <row r="444" ht="16.5" hidden="1" x14ac:dyDescent="0.3"/>
    <row r="445" ht="16.5" hidden="1" x14ac:dyDescent="0.3"/>
    <row r="446" ht="16.5" hidden="1" x14ac:dyDescent="0.3"/>
    <row r="447" ht="16.5" hidden="1" x14ac:dyDescent="0.3"/>
    <row r="448" ht="16.5" hidden="1" x14ac:dyDescent="0.3"/>
    <row r="449" ht="16.5" hidden="1" x14ac:dyDescent="0.3"/>
    <row r="450" ht="16.5" hidden="1" x14ac:dyDescent="0.3"/>
    <row r="451" ht="16.5" hidden="1" x14ac:dyDescent="0.3"/>
    <row r="452" ht="16.5" hidden="1" x14ac:dyDescent="0.3"/>
    <row r="453" ht="16.5" hidden="1" x14ac:dyDescent="0.3"/>
    <row r="454" ht="16.5" hidden="1" x14ac:dyDescent="0.3"/>
    <row r="455" ht="16.5" hidden="1" x14ac:dyDescent="0.3"/>
    <row r="456" ht="16.5" hidden="1" x14ac:dyDescent="0.3"/>
    <row r="457" ht="16.5" hidden="1" x14ac:dyDescent="0.3"/>
    <row r="458" ht="16.5" hidden="1" x14ac:dyDescent="0.3"/>
    <row r="459" ht="16.5" hidden="1" x14ac:dyDescent="0.3"/>
    <row r="460" ht="16.5" hidden="1" x14ac:dyDescent="0.3"/>
    <row r="461" ht="16.5" hidden="1" x14ac:dyDescent="0.3"/>
    <row r="462" ht="16.5" hidden="1" x14ac:dyDescent="0.3"/>
    <row r="463" ht="16.5" hidden="1" x14ac:dyDescent="0.3"/>
    <row r="464" ht="16.5" hidden="1" x14ac:dyDescent="0.3"/>
    <row r="465" ht="16.5" hidden="1" x14ac:dyDescent="0.3"/>
    <row r="466" ht="16.5" hidden="1" x14ac:dyDescent="0.3"/>
    <row r="467" ht="16.5" hidden="1" x14ac:dyDescent="0.3"/>
    <row r="468" ht="16.5" hidden="1" x14ac:dyDescent="0.3"/>
    <row r="469" ht="16.5" hidden="1" x14ac:dyDescent="0.3"/>
    <row r="470" ht="16.5" hidden="1" x14ac:dyDescent="0.3"/>
    <row r="471" ht="16.5" hidden="1" x14ac:dyDescent="0.3"/>
    <row r="472" ht="16.5" hidden="1" x14ac:dyDescent="0.3"/>
    <row r="473" ht="16.5" hidden="1" x14ac:dyDescent="0.3"/>
    <row r="474" ht="16.5" hidden="1" x14ac:dyDescent="0.3"/>
    <row r="475" ht="16.5" hidden="1" x14ac:dyDescent="0.3"/>
    <row r="476" ht="16.5" hidden="1" x14ac:dyDescent="0.3"/>
    <row r="477" ht="16.5" hidden="1" x14ac:dyDescent="0.3"/>
    <row r="478" ht="16.5" hidden="1" x14ac:dyDescent="0.3"/>
    <row r="479" ht="16.5" hidden="1" x14ac:dyDescent="0.3"/>
    <row r="480" ht="16.5" hidden="1" x14ac:dyDescent="0.3"/>
    <row r="481" ht="16.5" hidden="1" x14ac:dyDescent="0.3"/>
    <row r="482" ht="16.5" hidden="1" x14ac:dyDescent="0.3"/>
    <row r="483" ht="16.5" hidden="1" x14ac:dyDescent="0.3"/>
    <row r="484" ht="16.5" hidden="1" x14ac:dyDescent="0.3"/>
    <row r="485" ht="16.5" hidden="1" x14ac:dyDescent="0.3"/>
    <row r="486" ht="16.5" hidden="1" x14ac:dyDescent="0.3"/>
    <row r="487" ht="16.5" hidden="1" x14ac:dyDescent="0.3"/>
    <row r="488" ht="16.5" hidden="1" x14ac:dyDescent="0.3"/>
    <row r="489" ht="16.5" hidden="1" x14ac:dyDescent="0.3"/>
    <row r="490" ht="16.5" hidden="1" x14ac:dyDescent="0.3"/>
    <row r="491" ht="16.5" hidden="1" x14ac:dyDescent="0.3"/>
    <row r="492" ht="16.5" hidden="1" x14ac:dyDescent="0.3"/>
    <row r="493" ht="16.5" hidden="1" x14ac:dyDescent="0.3"/>
    <row r="494" ht="16.5" hidden="1" x14ac:dyDescent="0.3"/>
    <row r="495" ht="16.5" hidden="1" x14ac:dyDescent="0.3"/>
    <row r="496" ht="16.5" hidden="1" x14ac:dyDescent="0.3"/>
    <row r="497" ht="16.5" hidden="1" x14ac:dyDescent="0.3"/>
    <row r="498" ht="16.5" hidden="1" x14ac:dyDescent="0.3"/>
    <row r="499" ht="16.5" hidden="1" x14ac:dyDescent="0.3"/>
  </sheetData>
  <sheetProtection algorithmName="SHA-512" hashValue="hVWr5tC9HhWNpvy75VvVc32ns9+8b6H6woZ8RPm4K+TUwvJH/eywm9K2WjgKutJ9GxJoYehjS5t1hlWo3j8G3g==" saltValue="suLYKdQzuepc2UDnjvaDcQ==" spinCount="100000" sheet="1" objects="1" scenarios="1"/>
  <protectedRanges>
    <protectedRange sqref="C85:E90 D103:Q103 E120:E124 C131 D142:Q142 D194:E199" name="Editable scenarios"/>
  </protectedRanges>
  <mergeCells count="40">
    <mergeCell ref="B254:Q254"/>
    <mergeCell ref="B250:Q250"/>
    <mergeCell ref="A68:K68"/>
    <mergeCell ref="A5:M5"/>
    <mergeCell ref="A131:B131"/>
    <mergeCell ref="A41:F41"/>
    <mergeCell ref="A52:I52"/>
    <mergeCell ref="C131:F131"/>
    <mergeCell ref="A7:R7"/>
    <mergeCell ref="A8:R8"/>
    <mergeCell ref="A12:R12"/>
    <mergeCell ref="A13:R13"/>
    <mergeCell ref="A106:K106"/>
    <mergeCell ref="F111:I111"/>
    <mergeCell ref="C73:E73"/>
    <mergeCell ref="J71:Q71"/>
    <mergeCell ref="C83:E83"/>
    <mergeCell ref="D198:E198"/>
    <mergeCell ref="D199:E199"/>
    <mergeCell ref="D193:E193"/>
    <mergeCell ref="H194:J194"/>
    <mergeCell ref="H198:J198"/>
    <mergeCell ref="H199:J199"/>
    <mergeCell ref="F73:H73"/>
    <mergeCell ref="D288:Q288"/>
    <mergeCell ref="D289:Q289"/>
    <mergeCell ref="D287:Q287"/>
    <mergeCell ref="H193:J193"/>
    <mergeCell ref="D194:E194"/>
    <mergeCell ref="D195:E195"/>
    <mergeCell ref="D196:E196"/>
    <mergeCell ref="D197:E197"/>
    <mergeCell ref="H195:J195"/>
    <mergeCell ref="H196:J196"/>
    <mergeCell ref="H197:J197"/>
    <mergeCell ref="B246:Q246"/>
    <mergeCell ref="B245:Q245"/>
    <mergeCell ref="B266:Q266"/>
    <mergeCell ref="B262:Q262"/>
    <mergeCell ref="B258:Q258"/>
  </mergeCells>
  <conditionalFormatting sqref="D249:Q249 D269:Q271">
    <cfRule type="cellIs" dxfId="12" priority="25" operator="lessThan">
      <formula>0</formula>
    </cfRule>
    <cfRule type="cellIs" dxfId="11" priority="26" operator="greaterThan">
      <formula>0</formula>
    </cfRule>
  </conditionalFormatting>
  <conditionalFormatting sqref="D239:Q239">
    <cfRule type="cellIs" dxfId="10" priority="17" operator="lessThan">
      <formula>0</formula>
    </cfRule>
    <cfRule type="cellIs" dxfId="9" priority="18" operator="greaterThan">
      <formula>0</formula>
    </cfRule>
  </conditionalFormatting>
  <conditionalFormatting sqref="D253:Q253">
    <cfRule type="cellIs" dxfId="8" priority="9" operator="lessThan">
      <formula>0</formula>
    </cfRule>
    <cfRule type="cellIs" dxfId="7" priority="10" operator="greaterThan">
      <formula>0</formula>
    </cfRule>
  </conditionalFormatting>
  <conditionalFormatting sqref="D257:Q257">
    <cfRule type="cellIs" dxfId="6" priority="7" operator="lessThan">
      <formula>0</formula>
    </cfRule>
    <cfRule type="cellIs" dxfId="5" priority="8" operator="greaterThan">
      <formula>0</formula>
    </cfRule>
  </conditionalFormatting>
  <conditionalFormatting sqref="D261:Q261">
    <cfRule type="cellIs" dxfId="4" priority="5" operator="lessThan">
      <formula>0</formula>
    </cfRule>
    <cfRule type="cellIs" dxfId="3" priority="6" operator="greaterThan">
      <formula>0</formula>
    </cfRule>
  </conditionalFormatting>
  <conditionalFormatting sqref="D265:Q265">
    <cfRule type="cellIs" dxfId="2" priority="3" operator="lessThan">
      <formula>0</formula>
    </cfRule>
    <cfRule type="cellIs" dxfId="1" priority="4" operator="greaterThan">
      <formula>0</formula>
    </cfRule>
  </conditionalFormatting>
  <pageMargins left="0.25" right="0.25" top="0.75" bottom="0.75" header="0.3" footer="0.3"/>
  <pageSetup paperSize="9" scale="78" fitToHeight="0" orientation="landscape" r:id="rId1"/>
  <headerFooter>
    <oddFooter>Page &amp;P of &amp;N</oddFooter>
  </headerFooter>
  <rowBreaks count="7" manualBreakCount="7">
    <brk id="34" max="17" man="1"/>
    <brk id="66" max="17" man="1"/>
    <brk id="104" max="16383" man="1"/>
    <brk id="144" max="17" man="1"/>
    <brk id="186" max="17" man="1"/>
    <brk id="228" max="16383" man="1"/>
    <brk id="272" max="16383" man="1"/>
  </rowBreaks>
  <ignoredErrors>
    <ignoredError sqref="D254:Q254"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Mapping!$AI$2:$AI$4</xm:f>
          </x14:formula1>
          <xm:sqref>C131:F131</xm:sqref>
        </x14:dataValidation>
        <x14:dataValidation type="list" allowBlank="1" showInputMessage="1" showErrorMessage="1">
          <x14:formula1>
            <xm:f>Mapping!$W$2:$W$80</xm:f>
          </x14:formula1>
          <xm:sqref>D194:E199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BJ246"/>
  <sheetViews>
    <sheetView showGridLines="0" topLeftCell="A82" workbookViewId="0">
      <selection activeCell="C101" sqref="C101"/>
    </sheetView>
  </sheetViews>
  <sheetFormatPr defaultRowHeight="14" x14ac:dyDescent="0.3"/>
  <cols>
    <col min="1" max="1" width="12.296875" customWidth="1"/>
    <col min="2" max="2" width="35.09765625" customWidth="1"/>
    <col min="3" max="17" width="11.59765625" customWidth="1"/>
    <col min="31" max="37" width="10.3984375" bestFit="1" customWidth="1"/>
  </cols>
  <sheetData>
    <row r="3" spans="2:10" s="1" customFormat="1" ht="20.25" thickBot="1" x14ac:dyDescent="0.35">
      <c r="B3" s="1" t="s">
        <v>406</v>
      </c>
    </row>
    <row r="4" spans="2:10" ht="17.25" thickTop="1" x14ac:dyDescent="0.3"/>
    <row r="5" spans="2:10" ht="18" thickBot="1" x14ac:dyDescent="0.35">
      <c r="B5" s="25" t="s">
        <v>340</v>
      </c>
      <c r="H5" s="25" t="s">
        <v>349</v>
      </c>
    </row>
    <row r="6" spans="2:10" ht="17.25" thickTop="1" x14ac:dyDescent="0.3"/>
    <row r="7" spans="2:10" ht="16.5" x14ac:dyDescent="0.3">
      <c r="D7" s="4" t="s">
        <v>381</v>
      </c>
    </row>
    <row r="8" spans="2:10" ht="16.5" x14ac:dyDescent="0.3">
      <c r="B8" t="s">
        <v>341</v>
      </c>
      <c r="C8" s="22" t="s">
        <v>342</v>
      </c>
      <c r="D8" s="3" t="str">
        <f>'COUNCIL REPORT'!$C$131</f>
        <v>Statewide age profile (DEFAULT)</v>
      </c>
      <c r="E8" s="3" t="s">
        <v>343</v>
      </c>
      <c r="I8" s="3" t="s">
        <v>342</v>
      </c>
      <c r="J8" s="3" t="s">
        <v>370</v>
      </c>
    </row>
    <row r="9" spans="2:10" ht="16.5" x14ac:dyDescent="0.3">
      <c r="C9" s="22">
        <v>1</v>
      </c>
      <c r="D9">
        <f>INDEX(Mapping!$AJ$2:$AJ$4,MATCH($D$8,Mapping!$AI$2:$AI$4,0))</f>
        <v>1</v>
      </c>
    </row>
    <row r="10" spans="2:10" ht="16.5" x14ac:dyDescent="0.3">
      <c r="B10" t="s">
        <v>240</v>
      </c>
      <c r="C10" s="151">
        <f>'COUNCIL REPORT'!$C114</f>
        <v>0.21844660194174756</v>
      </c>
      <c r="D10" s="17">
        <f>INDEX('COUNCIL REPORT'!$C114:$J114,MATCH(D$9,'COUNCIL REPORT'!$C$111:$J$111,0))</f>
        <v>0.21844660194174756</v>
      </c>
      <c r="E10" s="88">
        <f>IFERROR(D10/C10,1)</f>
        <v>1</v>
      </c>
      <c r="H10" t="s">
        <v>89</v>
      </c>
      <c r="I10" s="109">
        <f>SUMIFS('Other data'!$AE$9:$AE$48,'Other data'!$AB$9:$AB$48,$H10)</f>
        <v>217.1944873566957</v>
      </c>
      <c r="J10" s="11">
        <f>E10*I10</f>
        <v>217.1944873566957</v>
      </c>
    </row>
    <row r="11" spans="2:10" ht="16.5" x14ac:dyDescent="0.3">
      <c r="B11" t="s">
        <v>241</v>
      </c>
      <c r="C11" s="151">
        <f>'COUNCIL REPORT'!$C115</f>
        <v>0.14077669902912621</v>
      </c>
      <c r="D11" s="17">
        <f>INDEX('COUNCIL REPORT'!$C115:$J115,MATCH(D$9,'COUNCIL REPORT'!$C$111:$J$111,0))</f>
        <v>0.14077669902912621</v>
      </c>
      <c r="E11" s="88">
        <f>IFERROR(D11/C11,1)</f>
        <v>1</v>
      </c>
      <c r="H11" t="s">
        <v>90</v>
      </c>
      <c r="I11" s="109">
        <f>SUMIFS('Other data'!$AE$9:$AE$48,'Other data'!$AB$9:$AB$48,$H11)</f>
        <v>139.96978074098166</v>
      </c>
      <c r="J11" s="11">
        <f>E11*I11</f>
        <v>139.96978074098166</v>
      </c>
    </row>
    <row r="12" spans="2:10" ht="16.5" x14ac:dyDescent="0.3">
      <c r="B12" t="s">
        <v>242</v>
      </c>
      <c r="C12" s="151">
        <f>'COUNCIL REPORT'!$C116</f>
        <v>0.20776699029126214</v>
      </c>
      <c r="D12" s="17">
        <f>INDEX('COUNCIL REPORT'!$C116:$J116,MATCH(D$9,'COUNCIL REPORT'!$C$111:$J$111,0))</f>
        <v>0.20776699029126214</v>
      </c>
      <c r="E12" s="88">
        <f>IFERROR(D12/C12,1)</f>
        <v>1</v>
      </c>
      <c r="H12" t="s">
        <v>91</v>
      </c>
      <c r="I12" s="109">
        <f>SUMIFS('Other data'!$AE$9:$AE$48,'Other data'!$AB$9:$AB$48,$H12)</f>
        <v>206.576090197035</v>
      </c>
      <c r="J12" s="11">
        <f>E12*I12</f>
        <v>206.576090197035</v>
      </c>
    </row>
    <row r="13" spans="2:10" ht="16.5" x14ac:dyDescent="0.3">
      <c r="B13" t="s">
        <v>243</v>
      </c>
      <c r="C13" s="151">
        <f>'COUNCIL REPORT'!$C117</f>
        <v>0.21067961165048543</v>
      </c>
      <c r="D13" s="17">
        <f>INDEX('COUNCIL REPORT'!$C117:$J117,MATCH(D$9,'COUNCIL REPORT'!$C$111:$J$111,0))</f>
        <v>0.21067961165048543</v>
      </c>
      <c r="E13" s="88">
        <f>IFERROR(D13/C13,1)</f>
        <v>1</v>
      </c>
      <c r="H13" t="s">
        <v>92</v>
      </c>
      <c r="I13" s="109">
        <f>SUMIFS('Other data'!$AE$9:$AE$48,'Other data'!$AB$9:$AB$48,$H13)</f>
        <v>209.47201669512427</v>
      </c>
      <c r="J13" s="11">
        <f>E13*I13</f>
        <v>209.47201669512427</v>
      </c>
    </row>
    <row r="14" spans="2:10" ht="16.5" x14ac:dyDescent="0.3">
      <c r="B14" t="s">
        <v>244</v>
      </c>
      <c r="C14" s="151">
        <f>'COUNCIL REPORT'!$C118</f>
        <v>0.22233009708737864</v>
      </c>
      <c r="D14" s="17">
        <f>INDEX('COUNCIL REPORT'!$C118:$J118,MATCH(D$9,'COUNCIL REPORT'!$C$111:$J$111,0))</f>
        <v>0.22233009708737864</v>
      </c>
      <c r="E14" s="88">
        <f>IFERROR(D14/C14,1)</f>
        <v>1</v>
      </c>
      <c r="H14" t="s">
        <v>93</v>
      </c>
      <c r="I14" s="109">
        <f>SUMIFS('Other data'!$AE$9:$AE$48,'Other data'!$AB$9:$AB$48,$H14)</f>
        <v>221.05572268748136</v>
      </c>
      <c r="J14" s="11">
        <f>E14*I14</f>
        <v>221.05572268748136</v>
      </c>
    </row>
    <row r="17" spans="2:22" ht="18" thickBot="1" x14ac:dyDescent="0.35">
      <c r="B17" s="25" t="s">
        <v>413</v>
      </c>
    </row>
    <row r="18" spans="2:22" ht="17.25" thickTop="1" x14ac:dyDescent="0.3">
      <c r="C18">
        <f>baseline</f>
        <v>2017</v>
      </c>
      <c r="D18">
        <f>C18+1</f>
        <v>2018</v>
      </c>
      <c r="E18">
        <f t="shared" ref="E18:Q18" si="0">D18+1</f>
        <v>2019</v>
      </c>
      <c r="F18">
        <f t="shared" si="0"/>
        <v>2020</v>
      </c>
      <c r="G18">
        <f t="shared" si="0"/>
        <v>2021</v>
      </c>
      <c r="H18">
        <f t="shared" si="0"/>
        <v>2022</v>
      </c>
      <c r="I18">
        <f t="shared" si="0"/>
        <v>2023</v>
      </c>
      <c r="J18">
        <f t="shared" si="0"/>
        <v>2024</v>
      </c>
      <c r="K18">
        <f t="shared" si="0"/>
        <v>2025</v>
      </c>
      <c r="L18">
        <f t="shared" si="0"/>
        <v>2026</v>
      </c>
      <c r="M18">
        <f t="shared" si="0"/>
        <v>2027</v>
      </c>
      <c r="N18">
        <f t="shared" si="0"/>
        <v>2028</v>
      </c>
      <c r="O18">
        <f t="shared" si="0"/>
        <v>2029</v>
      </c>
      <c r="P18">
        <f t="shared" si="0"/>
        <v>2030</v>
      </c>
      <c r="Q18">
        <f t="shared" si="0"/>
        <v>2031</v>
      </c>
      <c r="V18" s="18" t="s">
        <v>94</v>
      </c>
    </row>
    <row r="19" spans="2:22" ht="16.5" x14ac:dyDescent="0.3">
      <c r="C19" s="91">
        <f>'Other data'!AU9</f>
        <v>10.859724367834785</v>
      </c>
      <c r="D19" s="91">
        <f>'Other data'!AF9</f>
        <v>3.4</v>
      </c>
      <c r="E19" s="91">
        <f>'Other data'!AG9</f>
        <v>3.4</v>
      </c>
      <c r="F19" s="91">
        <f>'Other data'!AH9</f>
        <v>3.4</v>
      </c>
      <c r="G19" s="91">
        <f>'Other data'!AI9</f>
        <v>3.4</v>
      </c>
      <c r="H19" s="91">
        <f>'Other data'!AJ9</f>
        <v>3.4</v>
      </c>
      <c r="I19" s="91">
        <f>'Other data'!AK9</f>
        <v>3.4</v>
      </c>
      <c r="J19" s="91">
        <f>'Other data'!AL9</f>
        <v>3.4</v>
      </c>
      <c r="K19" s="91">
        <f>'Other data'!AM9</f>
        <v>3.4</v>
      </c>
      <c r="L19" s="91">
        <f>'Other data'!AN9</f>
        <v>3.4</v>
      </c>
      <c r="M19" s="91">
        <f>'Other data'!AO9</f>
        <v>3.4</v>
      </c>
      <c r="N19" s="91">
        <f>'Other data'!AP9</f>
        <v>3.4</v>
      </c>
      <c r="O19" s="91">
        <f>'Other data'!AQ9</f>
        <v>3.4</v>
      </c>
      <c r="P19" s="91">
        <f>'Other data'!AR9</f>
        <v>3.4</v>
      </c>
      <c r="Q19" s="91">
        <f>'Other data'!AS9</f>
        <v>3.4</v>
      </c>
      <c r="R19" s="3">
        <v>5</v>
      </c>
      <c r="S19" s="3">
        <v>20</v>
      </c>
      <c r="T19" s="3" t="s">
        <v>103</v>
      </c>
      <c r="U19" s="3" t="s">
        <v>89</v>
      </c>
      <c r="V19" s="18">
        <v>25</v>
      </c>
    </row>
    <row r="20" spans="2:22" ht="16.5" x14ac:dyDescent="0.3">
      <c r="C20" s="91">
        <f>'Other data'!AU10</f>
        <v>10.859724367834785</v>
      </c>
      <c r="D20" s="10">
        <f>C19+'Other data'!AF10</f>
        <v>14.259724367834785</v>
      </c>
      <c r="E20" s="10">
        <f>D19+'Other data'!AG10</f>
        <v>6.8</v>
      </c>
      <c r="F20" s="10">
        <f>E19+'Other data'!AH10</f>
        <v>6.8</v>
      </c>
      <c r="G20" s="10">
        <f>F19+'Other data'!AI10</f>
        <v>6.8</v>
      </c>
      <c r="H20" s="10">
        <f>G19+'Other data'!AJ10</f>
        <v>6.8</v>
      </c>
      <c r="I20" s="10">
        <f>H19+'Other data'!AK10</f>
        <v>6.8</v>
      </c>
      <c r="J20" s="10">
        <f>I19+'Other data'!AL10</f>
        <v>6.8</v>
      </c>
      <c r="K20" s="10">
        <f>J19+'Other data'!AM10</f>
        <v>6.8</v>
      </c>
      <c r="L20" s="10">
        <f>K19+'Other data'!AN10</f>
        <v>6.8</v>
      </c>
      <c r="M20" s="10">
        <f>L19+'Other data'!AO10</f>
        <v>6.8</v>
      </c>
      <c r="N20" s="10">
        <f>M19+'Other data'!AP10</f>
        <v>6.8</v>
      </c>
      <c r="O20" s="10">
        <f>N19+'Other data'!AQ10</f>
        <v>6.8</v>
      </c>
      <c r="P20" s="10">
        <f>O19+'Other data'!AR10</f>
        <v>6.8</v>
      </c>
      <c r="Q20" s="10">
        <f>P19+'Other data'!AS10</f>
        <v>6.8</v>
      </c>
      <c r="R20" s="3">
        <v>5</v>
      </c>
      <c r="S20" s="3">
        <v>20</v>
      </c>
      <c r="T20" s="3" t="s">
        <v>103</v>
      </c>
      <c r="U20" s="3" t="s">
        <v>89</v>
      </c>
      <c r="V20" s="18">
        <f t="shared" ref="V20:V58" si="1">V19+1</f>
        <v>26</v>
      </c>
    </row>
    <row r="21" spans="2:22" ht="16.5" x14ac:dyDescent="0.3">
      <c r="C21" s="91">
        <f>'Other data'!AU11</f>
        <v>10.859724367834785</v>
      </c>
      <c r="D21" s="10">
        <f>C20+'Other data'!AF11</f>
        <v>14.259724367834785</v>
      </c>
      <c r="E21" s="10">
        <f>D20+'Other data'!AG11</f>
        <v>17.659724367834784</v>
      </c>
      <c r="F21" s="10">
        <f>E20+'Other data'!AH11</f>
        <v>10.199999999999999</v>
      </c>
      <c r="G21" s="10">
        <f>F20+'Other data'!AI11</f>
        <v>10.199999999999999</v>
      </c>
      <c r="H21" s="10">
        <f>G20+'Other data'!AJ11</f>
        <v>10.199999999999999</v>
      </c>
      <c r="I21" s="10">
        <f>H20+'Other data'!AK11</f>
        <v>10.199999999999999</v>
      </c>
      <c r="J21" s="10">
        <f>I20+'Other data'!AL11</f>
        <v>10.199999999999999</v>
      </c>
      <c r="K21" s="10">
        <f>J20+'Other data'!AM11</f>
        <v>10.199999999999999</v>
      </c>
      <c r="L21" s="10">
        <f>K20+'Other data'!AN11</f>
        <v>10.199999999999999</v>
      </c>
      <c r="M21" s="10">
        <f>L20+'Other data'!AO11</f>
        <v>10.199999999999999</v>
      </c>
      <c r="N21" s="10">
        <f>M20+'Other data'!AP11</f>
        <v>10.199999999999999</v>
      </c>
      <c r="O21" s="10">
        <f>N20+'Other data'!AQ11</f>
        <v>10.199999999999999</v>
      </c>
      <c r="P21" s="10">
        <f>O20+'Other data'!AR11</f>
        <v>10.199999999999999</v>
      </c>
      <c r="Q21" s="10">
        <f>P20+'Other data'!AS11</f>
        <v>10.199999999999999</v>
      </c>
      <c r="R21" s="3">
        <v>5</v>
      </c>
      <c r="S21" s="3">
        <v>20</v>
      </c>
      <c r="T21" s="3" t="s">
        <v>103</v>
      </c>
      <c r="U21" s="3" t="s">
        <v>89</v>
      </c>
      <c r="V21" s="18">
        <f t="shared" si="1"/>
        <v>27</v>
      </c>
    </row>
    <row r="22" spans="2:22" ht="16.5" x14ac:dyDescent="0.3">
      <c r="C22" s="91">
        <f>'Other data'!AU12</f>
        <v>10.859724367834785</v>
      </c>
      <c r="D22" s="10">
        <f>C21+'Other data'!AF12</f>
        <v>14.259724367834785</v>
      </c>
      <c r="E22" s="10">
        <f>D21+'Other data'!AG12</f>
        <v>17.659724367834784</v>
      </c>
      <c r="F22" s="10">
        <f>E21+'Other data'!AH12</f>
        <v>21.059724367834782</v>
      </c>
      <c r="G22" s="10">
        <f>F21+'Other data'!AI12</f>
        <v>13.6</v>
      </c>
      <c r="H22" s="10">
        <f>G21+'Other data'!AJ12</f>
        <v>13.6</v>
      </c>
      <c r="I22" s="10">
        <f>H21+'Other data'!AK12</f>
        <v>13.6</v>
      </c>
      <c r="J22" s="10">
        <f>I21+'Other data'!AL12</f>
        <v>13.6</v>
      </c>
      <c r="K22" s="10">
        <f>J21+'Other data'!AM12</f>
        <v>13.6</v>
      </c>
      <c r="L22" s="10">
        <f>K21+'Other data'!AN12</f>
        <v>13.6</v>
      </c>
      <c r="M22" s="10">
        <f>L21+'Other data'!AO12</f>
        <v>13.6</v>
      </c>
      <c r="N22" s="10">
        <f>M21+'Other data'!AP12</f>
        <v>13.6</v>
      </c>
      <c r="O22" s="10">
        <f>N21+'Other data'!AQ12</f>
        <v>13.6</v>
      </c>
      <c r="P22" s="10">
        <f>O21+'Other data'!AR12</f>
        <v>13.6</v>
      </c>
      <c r="Q22" s="10">
        <f>P21+'Other data'!AS12</f>
        <v>13.6</v>
      </c>
      <c r="R22" s="3">
        <v>5</v>
      </c>
      <c r="S22" s="3">
        <v>20</v>
      </c>
      <c r="T22" s="3" t="s">
        <v>103</v>
      </c>
      <c r="U22" s="3" t="s">
        <v>89</v>
      </c>
      <c r="V22" s="18">
        <f t="shared" si="1"/>
        <v>28</v>
      </c>
    </row>
    <row r="23" spans="2:22" ht="16.5" x14ac:dyDescent="0.3">
      <c r="C23" s="91">
        <f>'Other data'!AU13</f>
        <v>10.859724367834785</v>
      </c>
      <c r="D23" s="10">
        <f>C22+'Other data'!AF13</f>
        <v>14.259724367834785</v>
      </c>
      <c r="E23" s="10">
        <f>D22+'Other data'!AG13</f>
        <v>17.659724367834784</v>
      </c>
      <c r="F23" s="10">
        <f>E22+'Other data'!AH13</f>
        <v>21.059724367834782</v>
      </c>
      <c r="G23" s="10">
        <f>F22+'Other data'!AI13</f>
        <v>24.459724367834781</v>
      </c>
      <c r="H23" s="10">
        <f>G22+'Other data'!AJ13</f>
        <v>17</v>
      </c>
      <c r="I23" s="10">
        <f>H22+'Other data'!AK13</f>
        <v>17</v>
      </c>
      <c r="J23" s="10">
        <f>I22+'Other data'!AL13</f>
        <v>17</v>
      </c>
      <c r="K23" s="10">
        <f>J22+'Other data'!AM13</f>
        <v>17</v>
      </c>
      <c r="L23" s="10">
        <f>K22+'Other data'!AN13</f>
        <v>17</v>
      </c>
      <c r="M23" s="10">
        <f>L22+'Other data'!AO13</f>
        <v>17</v>
      </c>
      <c r="N23" s="10">
        <f>M22+'Other data'!AP13</f>
        <v>17</v>
      </c>
      <c r="O23" s="10">
        <f>N22+'Other data'!AQ13</f>
        <v>17</v>
      </c>
      <c r="P23" s="10">
        <f>O22+'Other data'!AR13</f>
        <v>17</v>
      </c>
      <c r="Q23" s="10">
        <f>P22+'Other data'!AS13</f>
        <v>17</v>
      </c>
      <c r="R23" s="3">
        <v>5</v>
      </c>
      <c r="S23" s="3">
        <v>20</v>
      </c>
      <c r="T23" s="3" t="s">
        <v>103</v>
      </c>
      <c r="U23" s="3" t="s">
        <v>89</v>
      </c>
      <c r="V23" s="18">
        <f t="shared" si="1"/>
        <v>29</v>
      </c>
    </row>
    <row r="24" spans="2:22" ht="16.5" x14ac:dyDescent="0.3">
      <c r="C24" s="91">
        <f>'Other data'!AU14</f>
        <v>10.859724367834785</v>
      </c>
      <c r="D24" s="10">
        <f>C23+'Other data'!AF14</f>
        <v>13.859724367834785</v>
      </c>
      <c r="E24" s="10">
        <f>D23+'Other data'!AG14</f>
        <v>17.259724367834785</v>
      </c>
      <c r="F24" s="10">
        <f>E23+'Other data'!AH14</f>
        <v>20.659724367834784</v>
      </c>
      <c r="G24" s="10">
        <f>F23+'Other data'!AI14</f>
        <v>24.059724367834782</v>
      </c>
      <c r="H24" s="10">
        <f>G23+'Other data'!AJ14</f>
        <v>27.459724367834781</v>
      </c>
      <c r="I24" s="10">
        <f>H23+'Other data'!AK14</f>
        <v>20</v>
      </c>
      <c r="J24" s="10">
        <f>I23+'Other data'!AL14</f>
        <v>20</v>
      </c>
      <c r="K24" s="10">
        <f>J23+'Other data'!AM14</f>
        <v>20</v>
      </c>
      <c r="L24" s="10">
        <f>K23+'Other data'!AN14</f>
        <v>20</v>
      </c>
      <c r="M24" s="10">
        <f>L23+'Other data'!AO14</f>
        <v>20</v>
      </c>
      <c r="N24" s="10">
        <f>M23+'Other data'!AP14</f>
        <v>20</v>
      </c>
      <c r="O24" s="10">
        <f>N23+'Other data'!AQ14</f>
        <v>20</v>
      </c>
      <c r="P24" s="10">
        <f>O23+'Other data'!AR14</f>
        <v>20</v>
      </c>
      <c r="Q24" s="10">
        <f>P23+'Other data'!AS14</f>
        <v>20</v>
      </c>
      <c r="R24" s="3">
        <v>10</v>
      </c>
      <c r="S24" s="3">
        <v>20</v>
      </c>
      <c r="T24" s="3" t="s">
        <v>98</v>
      </c>
      <c r="U24" s="3" t="s">
        <v>89</v>
      </c>
      <c r="V24" s="18">
        <f t="shared" si="1"/>
        <v>30</v>
      </c>
    </row>
    <row r="25" spans="2:22" ht="16.5" x14ac:dyDescent="0.3">
      <c r="C25" s="91">
        <f>'Other data'!AU15</f>
        <v>10.859724367834785</v>
      </c>
      <c r="D25" s="10">
        <f>C24+'Other data'!AF15</f>
        <v>13.859724367834785</v>
      </c>
      <c r="E25" s="10">
        <f>D24+'Other data'!AG15</f>
        <v>16.859724367834787</v>
      </c>
      <c r="F25" s="10">
        <f>E24+'Other data'!AH15</f>
        <v>20.259724367834785</v>
      </c>
      <c r="G25" s="10">
        <f>F24+'Other data'!AI15</f>
        <v>23.659724367834784</v>
      </c>
      <c r="H25" s="10">
        <f>G24+'Other data'!AJ15</f>
        <v>27.059724367834782</v>
      </c>
      <c r="I25" s="10">
        <f>H24+'Other data'!AK15</f>
        <v>30.459724367834781</v>
      </c>
      <c r="J25" s="10">
        <f>I24+'Other data'!AL15</f>
        <v>23</v>
      </c>
      <c r="K25" s="10">
        <f>J24+'Other data'!AM15</f>
        <v>23</v>
      </c>
      <c r="L25" s="10">
        <f>K24+'Other data'!AN15</f>
        <v>23</v>
      </c>
      <c r="M25" s="10">
        <f>L24+'Other data'!AO15</f>
        <v>23</v>
      </c>
      <c r="N25" s="10">
        <f>M24+'Other data'!AP15</f>
        <v>23</v>
      </c>
      <c r="O25" s="10">
        <f>N24+'Other data'!AQ15</f>
        <v>23</v>
      </c>
      <c r="P25" s="10">
        <f>O24+'Other data'!AR15</f>
        <v>23</v>
      </c>
      <c r="Q25" s="10">
        <f>P24+'Other data'!AS15</f>
        <v>23</v>
      </c>
      <c r="R25" s="3">
        <v>10</v>
      </c>
      <c r="S25" s="3">
        <v>20</v>
      </c>
      <c r="T25" s="3" t="s">
        <v>98</v>
      </c>
      <c r="U25" s="3" t="s">
        <v>89</v>
      </c>
      <c r="V25" s="18">
        <f t="shared" si="1"/>
        <v>31</v>
      </c>
    </row>
    <row r="26" spans="2:22" ht="16.5" x14ac:dyDescent="0.3">
      <c r="C26" s="91">
        <f>'Other data'!AU16</f>
        <v>10.859724367834785</v>
      </c>
      <c r="D26" s="10">
        <f>C25+'Other data'!AF16</f>
        <v>13.859724367834785</v>
      </c>
      <c r="E26" s="10">
        <f>D25+'Other data'!AG16</f>
        <v>16.859724367834787</v>
      </c>
      <c r="F26" s="10">
        <f>E25+'Other data'!AH16</f>
        <v>19.859724367834787</v>
      </c>
      <c r="G26" s="10">
        <f>F25+'Other data'!AI16</f>
        <v>23.259724367834785</v>
      </c>
      <c r="H26" s="10">
        <f>G25+'Other data'!AJ16</f>
        <v>26.659724367834784</v>
      </c>
      <c r="I26" s="10">
        <f>H25+'Other data'!AK16</f>
        <v>30.059724367834782</v>
      </c>
      <c r="J26" s="10">
        <f>I25+'Other data'!AL16</f>
        <v>33.459724367834781</v>
      </c>
      <c r="K26" s="10">
        <f>J25+'Other data'!AM16</f>
        <v>26</v>
      </c>
      <c r="L26" s="10">
        <f>K25+'Other data'!AN16</f>
        <v>26</v>
      </c>
      <c r="M26" s="10">
        <f>L25+'Other data'!AO16</f>
        <v>26</v>
      </c>
      <c r="N26" s="10">
        <f>M25+'Other data'!AP16</f>
        <v>26</v>
      </c>
      <c r="O26" s="10">
        <f>N25+'Other data'!AQ16</f>
        <v>26</v>
      </c>
      <c r="P26" s="10">
        <f>O25+'Other data'!AR16</f>
        <v>26</v>
      </c>
      <c r="Q26" s="10">
        <f>P25+'Other data'!AS16</f>
        <v>26</v>
      </c>
      <c r="R26" s="3">
        <v>10</v>
      </c>
      <c r="S26" s="3">
        <v>20</v>
      </c>
      <c r="T26" s="3" t="s">
        <v>98</v>
      </c>
      <c r="U26" s="3" t="s">
        <v>89</v>
      </c>
      <c r="V26" s="18">
        <f t="shared" si="1"/>
        <v>32</v>
      </c>
    </row>
    <row r="27" spans="2:22" ht="16.5" x14ac:dyDescent="0.3">
      <c r="C27" s="91">
        <f>'Other data'!AU17</f>
        <v>10.859724367834785</v>
      </c>
      <c r="D27" s="10">
        <f>C26+'Other data'!AF17</f>
        <v>13.859724367834785</v>
      </c>
      <c r="E27" s="10">
        <f>D26+'Other data'!AG17</f>
        <v>16.859724367834787</v>
      </c>
      <c r="F27" s="10">
        <f>E26+'Other data'!AH17</f>
        <v>19.859724367834787</v>
      </c>
      <c r="G27" s="10">
        <f>F26+'Other data'!AI17</f>
        <v>22.859724367834787</v>
      </c>
      <c r="H27" s="10">
        <f>G26+'Other data'!AJ17</f>
        <v>26.259724367834785</v>
      </c>
      <c r="I27" s="10">
        <f>H26+'Other data'!AK17</f>
        <v>29.659724367834784</v>
      </c>
      <c r="J27" s="10">
        <f>I26+'Other data'!AL17</f>
        <v>33.059724367834782</v>
      </c>
      <c r="K27" s="10">
        <f>J26+'Other data'!AM17</f>
        <v>36.459724367834781</v>
      </c>
      <c r="L27" s="10">
        <f>K26+'Other data'!AN17</f>
        <v>29</v>
      </c>
      <c r="M27" s="10">
        <f>L26+'Other data'!AO17</f>
        <v>29</v>
      </c>
      <c r="N27" s="10">
        <f>M26+'Other data'!AP17</f>
        <v>29</v>
      </c>
      <c r="O27" s="10">
        <f>N26+'Other data'!AQ17</f>
        <v>29</v>
      </c>
      <c r="P27" s="10">
        <f>O26+'Other data'!AR17</f>
        <v>29</v>
      </c>
      <c r="Q27" s="10">
        <f>P26+'Other data'!AS17</f>
        <v>29</v>
      </c>
      <c r="R27" s="3">
        <v>10</v>
      </c>
      <c r="S27" s="3">
        <v>20</v>
      </c>
      <c r="T27" s="3" t="s">
        <v>98</v>
      </c>
      <c r="U27" s="3" t="s">
        <v>89</v>
      </c>
      <c r="V27" s="18">
        <f t="shared" si="1"/>
        <v>33</v>
      </c>
    </row>
    <row r="28" spans="2:22" ht="16.5" x14ac:dyDescent="0.3">
      <c r="C28" s="91">
        <f>'Other data'!AU18</f>
        <v>10.859724367834785</v>
      </c>
      <c r="D28" s="10">
        <f>C27+'Other data'!AF18</f>
        <v>13.859724367834785</v>
      </c>
      <c r="E28" s="10">
        <f>D27+'Other data'!AG18</f>
        <v>16.859724367834787</v>
      </c>
      <c r="F28" s="10">
        <f>E27+'Other data'!AH18</f>
        <v>19.859724367834787</v>
      </c>
      <c r="G28" s="10">
        <f>F27+'Other data'!AI18</f>
        <v>22.859724367834787</v>
      </c>
      <c r="H28" s="10">
        <f>G27+'Other data'!AJ18</f>
        <v>25.859724367834787</v>
      </c>
      <c r="I28" s="10">
        <f>H27+'Other data'!AK18</f>
        <v>29.259724367834785</v>
      </c>
      <c r="J28" s="10">
        <f>I27+'Other data'!AL18</f>
        <v>32.659724367834784</v>
      </c>
      <c r="K28" s="10">
        <f>J27+'Other data'!AM18</f>
        <v>36.059724367834782</v>
      </c>
      <c r="L28" s="10">
        <f>K27+'Other data'!AN18</f>
        <v>39.459724367834781</v>
      </c>
      <c r="M28" s="10">
        <f>L27+'Other data'!AO18</f>
        <v>32</v>
      </c>
      <c r="N28" s="10">
        <f>M27+'Other data'!AP18</f>
        <v>32</v>
      </c>
      <c r="O28" s="10">
        <f>N27+'Other data'!AQ18</f>
        <v>32</v>
      </c>
      <c r="P28" s="10">
        <f>O27+'Other data'!AR18</f>
        <v>32</v>
      </c>
      <c r="Q28" s="10">
        <f>P27+'Other data'!AS18</f>
        <v>32</v>
      </c>
      <c r="R28" s="3">
        <v>10</v>
      </c>
      <c r="S28" s="3">
        <v>20</v>
      </c>
      <c r="T28" s="3" t="s">
        <v>98</v>
      </c>
      <c r="U28" s="3" t="s">
        <v>89</v>
      </c>
      <c r="V28" s="18">
        <f t="shared" si="1"/>
        <v>34</v>
      </c>
    </row>
    <row r="29" spans="2:22" ht="16.5" x14ac:dyDescent="0.3">
      <c r="C29" s="91">
        <f>'Other data'!AU19</f>
        <v>10.859724367834785</v>
      </c>
      <c r="D29" s="10">
        <f>C28+'Other data'!AF19</f>
        <v>13.859724367834785</v>
      </c>
      <c r="E29" s="10">
        <f>D28+'Other data'!AG19</f>
        <v>16.859724367834787</v>
      </c>
      <c r="F29" s="10">
        <f>E28+'Other data'!AH19</f>
        <v>19.859724367834787</v>
      </c>
      <c r="G29" s="10">
        <f>F28+'Other data'!AI19</f>
        <v>22.859724367834787</v>
      </c>
      <c r="H29" s="10">
        <f>G28+'Other data'!AJ19</f>
        <v>25.859724367834787</v>
      </c>
      <c r="I29" s="10">
        <f>H28+'Other data'!AK19</f>
        <v>28.859724367834787</v>
      </c>
      <c r="J29" s="10">
        <f>I28+'Other data'!AL19</f>
        <v>32.259724367834785</v>
      </c>
      <c r="K29" s="10">
        <f>J28+'Other data'!AM19</f>
        <v>35.659724367834784</v>
      </c>
      <c r="L29" s="10">
        <f>K28+'Other data'!AN19</f>
        <v>39.059724367834782</v>
      </c>
      <c r="M29" s="10">
        <f>L28+'Other data'!AO19</f>
        <v>42.459724367834781</v>
      </c>
      <c r="N29" s="10">
        <f>M28+'Other data'!AP19</f>
        <v>35</v>
      </c>
      <c r="O29" s="10">
        <f>N28+'Other data'!AQ19</f>
        <v>35</v>
      </c>
      <c r="P29" s="10">
        <f>O28+'Other data'!AR19</f>
        <v>35</v>
      </c>
      <c r="Q29" s="10">
        <f>P28+'Other data'!AS19</f>
        <v>35</v>
      </c>
      <c r="R29" s="3">
        <v>10</v>
      </c>
      <c r="S29" s="3">
        <v>20</v>
      </c>
      <c r="T29" s="3" t="s">
        <v>98</v>
      </c>
      <c r="U29" s="3" t="s">
        <v>89</v>
      </c>
      <c r="V29" s="18">
        <f t="shared" si="1"/>
        <v>35</v>
      </c>
    </row>
    <row r="30" spans="2:22" ht="16.5" x14ac:dyDescent="0.3">
      <c r="C30" s="91">
        <f>'Other data'!AU20</f>
        <v>10.859724367834785</v>
      </c>
      <c r="D30" s="10">
        <f>C29+'Other data'!AF20</f>
        <v>13.859724367834785</v>
      </c>
      <c r="E30" s="10">
        <f>D29+'Other data'!AG20</f>
        <v>16.859724367834787</v>
      </c>
      <c r="F30" s="10">
        <f>E29+'Other data'!AH20</f>
        <v>19.859724367834787</v>
      </c>
      <c r="G30" s="10">
        <f>F29+'Other data'!AI20</f>
        <v>22.859724367834787</v>
      </c>
      <c r="H30" s="10">
        <f>G29+'Other data'!AJ20</f>
        <v>25.859724367834787</v>
      </c>
      <c r="I30" s="10">
        <f>H29+'Other data'!AK20</f>
        <v>28.859724367834787</v>
      </c>
      <c r="J30" s="10">
        <f>I29+'Other data'!AL20</f>
        <v>31.859724367834787</v>
      </c>
      <c r="K30" s="10">
        <f>J29+'Other data'!AM20</f>
        <v>35.259724367834785</v>
      </c>
      <c r="L30" s="10">
        <f>K29+'Other data'!AN20</f>
        <v>38.659724367834784</v>
      </c>
      <c r="M30" s="10">
        <f>L29+'Other data'!AO20</f>
        <v>42.059724367834782</v>
      </c>
      <c r="N30" s="10">
        <f>M29+'Other data'!AP20</f>
        <v>45.459724367834781</v>
      </c>
      <c r="O30" s="10">
        <f>N29+'Other data'!AQ20</f>
        <v>38</v>
      </c>
      <c r="P30" s="10">
        <f>O29+'Other data'!AR20</f>
        <v>38</v>
      </c>
      <c r="Q30" s="10">
        <f>P29+'Other data'!AS20</f>
        <v>38</v>
      </c>
      <c r="R30" s="3">
        <v>10</v>
      </c>
      <c r="S30" s="3">
        <v>20</v>
      </c>
      <c r="T30" s="3" t="s">
        <v>98</v>
      </c>
      <c r="U30" s="3" t="s">
        <v>89</v>
      </c>
      <c r="V30" s="18">
        <f t="shared" si="1"/>
        <v>36</v>
      </c>
    </row>
    <row r="31" spans="2:22" ht="16.5" x14ac:dyDescent="0.3">
      <c r="C31" s="91">
        <f>'Other data'!AU21</f>
        <v>10.859724367834785</v>
      </c>
      <c r="D31" s="10">
        <f>C30+'Other data'!AF21</f>
        <v>13.859724367834785</v>
      </c>
      <c r="E31" s="10">
        <f>D30+'Other data'!AG21</f>
        <v>16.859724367834787</v>
      </c>
      <c r="F31" s="10">
        <f>E30+'Other data'!AH21</f>
        <v>19.859724367834787</v>
      </c>
      <c r="G31" s="10">
        <f>F30+'Other data'!AI21</f>
        <v>22.859724367834787</v>
      </c>
      <c r="H31" s="10">
        <f>G30+'Other data'!AJ21</f>
        <v>25.859724367834787</v>
      </c>
      <c r="I31" s="10">
        <f>H30+'Other data'!AK21</f>
        <v>28.859724367834787</v>
      </c>
      <c r="J31" s="10">
        <f>I30+'Other data'!AL21</f>
        <v>31.859724367834787</v>
      </c>
      <c r="K31" s="10">
        <f>J30+'Other data'!AM21</f>
        <v>34.859724367834787</v>
      </c>
      <c r="L31" s="10">
        <f>K30+'Other data'!AN21</f>
        <v>38.259724367834785</v>
      </c>
      <c r="M31" s="10">
        <f>L30+'Other data'!AO21</f>
        <v>41.659724367834784</v>
      </c>
      <c r="N31" s="10">
        <f>M30+'Other data'!AP21</f>
        <v>45.059724367834782</v>
      </c>
      <c r="O31" s="10">
        <f>N30+'Other data'!AQ21</f>
        <v>48.459724367834781</v>
      </c>
      <c r="P31" s="10">
        <f>O30+'Other data'!AR21</f>
        <v>41</v>
      </c>
      <c r="Q31" s="10">
        <f>P30+'Other data'!AS21</f>
        <v>41</v>
      </c>
      <c r="R31" s="3">
        <v>10</v>
      </c>
      <c r="S31" s="3">
        <v>20</v>
      </c>
      <c r="T31" s="3" t="s">
        <v>98</v>
      </c>
      <c r="U31" s="3" t="s">
        <v>89</v>
      </c>
      <c r="V31" s="18">
        <f t="shared" si="1"/>
        <v>37</v>
      </c>
    </row>
    <row r="32" spans="2:22" ht="16.5" x14ac:dyDescent="0.3">
      <c r="C32" s="91">
        <f>'Other data'!AU22</f>
        <v>10.859724367834785</v>
      </c>
      <c r="D32" s="10">
        <f>C31+'Other data'!AF22</f>
        <v>13.859724367834785</v>
      </c>
      <c r="E32" s="10">
        <f>D31+'Other data'!AG22</f>
        <v>16.859724367834787</v>
      </c>
      <c r="F32" s="10">
        <f>E31+'Other data'!AH22</f>
        <v>19.859724367834787</v>
      </c>
      <c r="G32" s="10">
        <f>F31+'Other data'!AI22</f>
        <v>22.859724367834787</v>
      </c>
      <c r="H32" s="10">
        <f>G31+'Other data'!AJ22</f>
        <v>25.859724367834787</v>
      </c>
      <c r="I32" s="10">
        <f>H31+'Other data'!AK22</f>
        <v>28.859724367834787</v>
      </c>
      <c r="J32" s="10">
        <f>I31+'Other data'!AL22</f>
        <v>31.859724367834787</v>
      </c>
      <c r="K32" s="10">
        <f>J31+'Other data'!AM22</f>
        <v>34.859724367834787</v>
      </c>
      <c r="L32" s="10">
        <f>K31+'Other data'!AN22</f>
        <v>37.859724367834787</v>
      </c>
      <c r="M32" s="10">
        <f>L31+'Other data'!AO22</f>
        <v>41.259724367834785</v>
      </c>
      <c r="N32" s="10">
        <f>M31+'Other data'!AP22</f>
        <v>44.659724367834784</v>
      </c>
      <c r="O32" s="10">
        <f>N31+'Other data'!AQ22</f>
        <v>48.059724367834782</v>
      </c>
      <c r="P32" s="10">
        <f>O31+'Other data'!AR22</f>
        <v>51.459724367834781</v>
      </c>
      <c r="Q32" s="10">
        <f>P31+'Other data'!AS22</f>
        <v>44</v>
      </c>
      <c r="R32" s="3">
        <v>10</v>
      </c>
      <c r="S32" s="3">
        <v>20</v>
      </c>
      <c r="T32" s="3" t="s">
        <v>98</v>
      </c>
      <c r="U32" s="3" t="s">
        <v>89</v>
      </c>
      <c r="V32" s="18">
        <f t="shared" si="1"/>
        <v>38</v>
      </c>
    </row>
    <row r="33" spans="3:22" ht="16.5" x14ac:dyDescent="0.3">
      <c r="C33" s="91">
        <f>'Other data'!AU23</f>
        <v>10.859724367834785</v>
      </c>
      <c r="D33" s="10">
        <f>C32+'Other data'!AF23</f>
        <v>13.859724367834785</v>
      </c>
      <c r="E33" s="10">
        <f>D32+'Other data'!AG23</f>
        <v>16.859724367834787</v>
      </c>
      <c r="F33" s="10">
        <f>E32+'Other data'!AH23</f>
        <v>19.859724367834787</v>
      </c>
      <c r="G33" s="10">
        <f>F32+'Other data'!AI23</f>
        <v>22.859724367834787</v>
      </c>
      <c r="H33" s="10">
        <f>G32+'Other data'!AJ23</f>
        <v>25.859724367834787</v>
      </c>
      <c r="I33" s="10">
        <f>H32+'Other data'!AK23</f>
        <v>28.859724367834787</v>
      </c>
      <c r="J33" s="10">
        <f>I32+'Other data'!AL23</f>
        <v>31.859724367834787</v>
      </c>
      <c r="K33" s="10">
        <f>J32+'Other data'!AM23</f>
        <v>34.859724367834787</v>
      </c>
      <c r="L33" s="10">
        <f>K32+'Other data'!AN23</f>
        <v>37.859724367834787</v>
      </c>
      <c r="M33" s="10">
        <f>L32+'Other data'!AO23</f>
        <v>40.859724367834787</v>
      </c>
      <c r="N33" s="10">
        <f>M32+'Other data'!AP23</f>
        <v>44.259724367834785</v>
      </c>
      <c r="O33" s="10">
        <f>N32+'Other data'!AQ23</f>
        <v>47.659724367834784</v>
      </c>
      <c r="P33" s="10">
        <f>O32+'Other data'!AR23</f>
        <v>51.059724367834782</v>
      </c>
      <c r="Q33" s="10">
        <f>P32+'Other data'!AS23</f>
        <v>54.459724367834781</v>
      </c>
      <c r="R33" s="3">
        <v>10</v>
      </c>
      <c r="S33" s="3">
        <v>20</v>
      </c>
      <c r="T33" s="3" t="s">
        <v>98</v>
      </c>
      <c r="U33" s="3" t="s">
        <v>89</v>
      </c>
      <c r="V33" s="18">
        <f t="shared" si="1"/>
        <v>39</v>
      </c>
    </row>
    <row r="34" spans="3:22" ht="16.5" x14ac:dyDescent="0.3">
      <c r="C34" s="91">
        <f>'Other data'!AU24</f>
        <v>10.859724367834785</v>
      </c>
      <c r="D34" s="10">
        <f>C33+'Other data'!AF24</f>
        <v>12.359724367834785</v>
      </c>
      <c r="E34" s="10">
        <f>D33+'Other data'!AG24</f>
        <v>15.359724367834785</v>
      </c>
      <c r="F34" s="10">
        <f>E33+'Other data'!AH24</f>
        <v>18.359724367834787</v>
      </c>
      <c r="G34" s="10">
        <f>F33+'Other data'!AI24</f>
        <v>21.359724367834787</v>
      </c>
      <c r="H34" s="10">
        <f>G33+'Other data'!AJ24</f>
        <v>24.359724367834787</v>
      </c>
      <c r="I34" s="10">
        <f>H33+'Other data'!AK24</f>
        <v>27.359724367834787</v>
      </c>
      <c r="J34" s="10">
        <f>I33+'Other data'!AL24</f>
        <v>30.359724367834787</v>
      </c>
      <c r="K34" s="10">
        <f>J33+'Other data'!AM24</f>
        <v>33.359724367834787</v>
      </c>
      <c r="L34" s="10">
        <f>K33+'Other data'!AN24</f>
        <v>36.359724367834787</v>
      </c>
      <c r="M34" s="10">
        <f>L33+'Other data'!AO24</f>
        <v>39.359724367834787</v>
      </c>
      <c r="N34" s="10">
        <f>M33+'Other data'!AP24</f>
        <v>42.359724367834787</v>
      </c>
      <c r="O34" s="10">
        <f>N33+'Other data'!AQ24</f>
        <v>45.759724367834785</v>
      </c>
      <c r="P34" s="10">
        <f>O33+'Other data'!AR24</f>
        <v>49.159724367834784</v>
      </c>
      <c r="Q34" s="10">
        <f>P33+'Other data'!AS24</f>
        <v>52.559724367834782</v>
      </c>
      <c r="R34" s="3">
        <v>10</v>
      </c>
      <c r="S34" s="3">
        <v>20</v>
      </c>
      <c r="T34" s="3" t="s">
        <v>100</v>
      </c>
      <c r="U34" s="3" t="s">
        <v>89</v>
      </c>
      <c r="V34" s="18">
        <f t="shared" si="1"/>
        <v>40</v>
      </c>
    </row>
    <row r="35" spans="3:22" ht="16.5" x14ac:dyDescent="0.3">
      <c r="C35" s="91">
        <f>'Other data'!AU25</f>
        <v>10.859724367834785</v>
      </c>
      <c r="D35" s="10">
        <f>C34+'Other data'!AF25</f>
        <v>12.359724367834785</v>
      </c>
      <c r="E35" s="10">
        <f>D34+'Other data'!AG25</f>
        <v>13.859724367834785</v>
      </c>
      <c r="F35" s="10">
        <f>E34+'Other data'!AH25</f>
        <v>16.859724367834787</v>
      </c>
      <c r="G35" s="10">
        <f>F34+'Other data'!AI25</f>
        <v>19.859724367834787</v>
      </c>
      <c r="H35" s="10">
        <f>G34+'Other data'!AJ25</f>
        <v>22.859724367834787</v>
      </c>
      <c r="I35" s="10">
        <f>H34+'Other data'!AK25</f>
        <v>25.859724367834787</v>
      </c>
      <c r="J35" s="10">
        <f>I34+'Other data'!AL25</f>
        <v>28.859724367834787</v>
      </c>
      <c r="K35" s="10">
        <f>J34+'Other data'!AM25</f>
        <v>31.859724367834787</v>
      </c>
      <c r="L35" s="10">
        <f>K34+'Other data'!AN25</f>
        <v>34.859724367834787</v>
      </c>
      <c r="M35" s="10">
        <f>L34+'Other data'!AO25</f>
        <v>37.859724367834787</v>
      </c>
      <c r="N35" s="10">
        <f>M34+'Other data'!AP25</f>
        <v>40.859724367834787</v>
      </c>
      <c r="O35" s="10">
        <f>N34+'Other data'!AQ25</f>
        <v>43.859724367834787</v>
      </c>
      <c r="P35" s="10">
        <f>O34+'Other data'!AR25</f>
        <v>47.259724367834785</v>
      </c>
      <c r="Q35" s="10">
        <f>P34+'Other data'!AS25</f>
        <v>50.659724367834784</v>
      </c>
      <c r="R35" s="3">
        <v>10</v>
      </c>
      <c r="S35" s="3">
        <v>20</v>
      </c>
      <c r="T35" s="3" t="s">
        <v>100</v>
      </c>
      <c r="U35" s="3" t="s">
        <v>89</v>
      </c>
      <c r="V35" s="18">
        <f t="shared" si="1"/>
        <v>41</v>
      </c>
    </row>
    <row r="36" spans="3:22" ht="16.5" x14ac:dyDescent="0.3">
      <c r="C36" s="91">
        <f>'Other data'!AU26</f>
        <v>10.859724367834785</v>
      </c>
      <c r="D36" s="10">
        <f>C35+'Other data'!AF26</f>
        <v>12.359724367834785</v>
      </c>
      <c r="E36" s="10">
        <f>D35+'Other data'!AG26</f>
        <v>13.859724367834785</v>
      </c>
      <c r="F36" s="10">
        <f>E35+'Other data'!AH26</f>
        <v>15.359724367834785</v>
      </c>
      <c r="G36" s="10">
        <f>F35+'Other data'!AI26</f>
        <v>18.359724367834787</v>
      </c>
      <c r="H36" s="10">
        <f>G35+'Other data'!AJ26</f>
        <v>21.359724367834787</v>
      </c>
      <c r="I36" s="10">
        <f>H35+'Other data'!AK26</f>
        <v>24.359724367834787</v>
      </c>
      <c r="J36" s="10">
        <f>I35+'Other data'!AL26</f>
        <v>27.359724367834787</v>
      </c>
      <c r="K36" s="10">
        <f>J35+'Other data'!AM26</f>
        <v>30.359724367834787</v>
      </c>
      <c r="L36" s="10">
        <f>K35+'Other data'!AN26</f>
        <v>33.359724367834787</v>
      </c>
      <c r="M36" s="10">
        <f>L35+'Other data'!AO26</f>
        <v>36.359724367834787</v>
      </c>
      <c r="N36" s="10">
        <f>M35+'Other data'!AP26</f>
        <v>39.359724367834787</v>
      </c>
      <c r="O36" s="10">
        <f>N35+'Other data'!AQ26</f>
        <v>42.359724367834787</v>
      </c>
      <c r="P36" s="10">
        <f>O35+'Other data'!AR26</f>
        <v>45.359724367834787</v>
      </c>
      <c r="Q36" s="10">
        <f>P35+'Other data'!AS26</f>
        <v>48.759724367834785</v>
      </c>
      <c r="R36" s="3">
        <v>10</v>
      </c>
      <c r="S36" s="3">
        <v>20</v>
      </c>
      <c r="T36" s="3" t="s">
        <v>100</v>
      </c>
      <c r="U36" s="3" t="s">
        <v>89</v>
      </c>
      <c r="V36" s="18">
        <f t="shared" si="1"/>
        <v>42</v>
      </c>
    </row>
    <row r="37" spans="3:22" ht="16.5" x14ac:dyDescent="0.3">
      <c r="C37" s="91">
        <f>'Other data'!AU27</f>
        <v>10.859724367834785</v>
      </c>
      <c r="D37" s="10">
        <f>C36+'Other data'!AF27</f>
        <v>12.359724367834785</v>
      </c>
      <c r="E37" s="10">
        <f>D36+'Other data'!AG27</f>
        <v>13.859724367834785</v>
      </c>
      <c r="F37" s="10">
        <f>E36+'Other data'!AH27</f>
        <v>15.359724367834785</v>
      </c>
      <c r="G37" s="10">
        <f>F36+'Other data'!AI27</f>
        <v>16.859724367834787</v>
      </c>
      <c r="H37" s="10">
        <f>G36+'Other data'!AJ27</f>
        <v>19.859724367834787</v>
      </c>
      <c r="I37" s="10">
        <f>H36+'Other data'!AK27</f>
        <v>22.859724367834787</v>
      </c>
      <c r="J37" s="10">
        <f>I36+'Other data'!AL27</f>
        <v>25.859724367834787</v>
      </c>
      <c r="K37" s="10">
        <f>J36+'Other data'!AM27</f>
        <v>28.859724367834787</v>
      </c>
      <c r="L37" s="10">
        <f>K36+'Other data'!AN27</f>
        <v>31.859724367834787</v>
      </c>
      <c r="M37" s="10">
        <f>L36+'Other data'!AO27</f>
        <v>34.859724367834787</v>
      </c>
      <c r="N37" s="10">
        <f>M36+'Other data'!AP27</f>
        <v>37.859724367834787</v>
      </c>
      <c r="O37" s="10">
        <f>N36+'Other data'!AQ27</f>
        <v>40.859724367834787</v>
      </c>
      <c r="P37" s="10">
        <f>O36+'Other data'!AR27</f>
        <v>43.859724367834787</v>
      </c>
      <c r="Q37" s="10">
        <f>P36+'Other data'!AS27</f>
        <v>46.859724367834787</v>
      </c>
      <c r="R37" s="3">
        <v>10</v>
      </c>
      <c r="S37" s="3">
        <v>20</v>
      </c>
      <c r="T37" s="3" t="s">
        <v>100</v>
      </c>
      <c r="U37" s="3" t="s">
        <v>89</v>
      </c>
      <c r="V37" s="18">
        <f t="shared" si="1"/>
        <v>43</v>
      </c>
    </row>
    <row r="38" spans="3:22" ht="16.5" x14ac:dyDescent="0.3">
      <c r="C38" s="91">
        <f>'Other data'!AU28</f>
        <v>10.859724367834785</v>
      </c>
      <c r="D38" s="10">
        <f>C37+'Other data'!AF28</f>
        <v>12.359724367834785</v>
      </c>
      <c r="E38" s="10">
        <f>D37+'Other data'!AG28</f>
        <v>13.859724367834785</v>
      </c>
      <c r="F38" s="10">
        <f>E37+'Other data'!AH28</f>
        <v>15.359724367834785</v>
      </c>
      <c r="G38" s="10">
        <f>F37+'Other data'!AI28</f>
        <v>16.859724367834787</v>
      </c>
      <c r="H38" s="10">
        <f>G37+'Other data'!AJ28</f>
        <v>18.359724367834787</v>
      </c>
      <c r="I38" s="10">
        <f>H37+'Other data'!AK28</f>
        <v>21.359724367834787</v>
      </c>
      <c r="J38" s="10">
        <f>I37+'Other data'!AL28</f>
        <v>24.359724367834787</v>
      </c>
      <c r="K38" s="10">
        <f>J37+'Other data'!AM28</f>
        <v>27.359724367834787</v>
      </c>
      <c r="L38" s="10">
        <f>K37+'Other data'!AN28</f>
        <v>30.359724367834787</v>
      </c>
      <c r="M38" s="10">
        <f>L37+'Other data'!AO28</f>
        <v>33.359724367834787</v>
      </c>
      <c r="N38" s="10">
        <f>M37+'Other data'!AP28</f>
        <v>36.359724367834787</v>
      </c>
      <c r="O38" s="10">
        <f>N37+'Other data'!AQ28</f>
        <v>39.359724367834787</v>
      </c>
      <c r="P38" s="10">
        <f>O37+'Other data'!AR28</f>
        <v>42.359724367834787</v>
      </c>
      <c r="Q38" s="10">
        <f>P37+'Other data'!AS28</f>
        <v>45.359724367834787</v>
      </c>
      <c r="R38" s="3">
        <v>10</v>
      </c>
      <c r="S38" s="3">
        <v>20</v>
      </c>
      <c r="T38" s="3" t="s">
        <v>100</v>
      </c>
      <c r="U38" s="3" t="s">
        <v>89</v>
      </c>
      <c r="V38" s="18">
        <f t="shared" si="1"/>
        <v>44</v>
      </c>
    </row>
    <row r="39" spans="3:22" ht="16.5" x14ac:dyDescent="0.3">
      <c r="C39" s="91">
        <f>'Other data'!AU29</f>
        <v>23.328296790163609</v>
      </c>
      <c r="D39" s="10">
        <f>C38+'Other data'!AF29</f>
        <v>12.359724367834785</v>
      </c>
      <c r="E39" s="10">
        <f>D38+'Other data'!AG29</f>
        <v>13.859724367834785</v>
      </c>
      <c r="F39" s="10">
        <f>E38+'Other data'!AH29</f>
        <v>15.359724367834785</v>
      </c>
      <c r="G39" s="10">
        <f>F38+'Other data'!AI29</f>
        <v>16.859724367834787</v>
      </c>
      <c r="H39" s="10">
        <f>G38+'Other data'!AJ29</f>
        <v>18.359724367834787</v>
      </c>
      <c r="I39" s="10">
        <f>H38+'Other data'!AK29</f>
        <v>19.859724367834787</v>
      </c>
      <c r="J39" s="10">
        <f>I38+'Other data'!AL29</f>
        <v>22.859724367834787</v>
      </c>
      <c r="K39" s="10">
        <f>J38+'Other data'!AM29</f>
        <v>25.859724367834787</v>
      </c>
      <c r="L39" s="10">
        <f>K38+'Other data'!AN29</f>
        <v>28.859724367834787</v>
      </c>
      <c r="M39" s="10">
        <f>L38+'Other data'!AO29</f>
        <v>31.859724367834787</v>
      </c>
      <c r="N39" s="10">
        <f>M38+'Other data'!AP29</f>
        <v>34.859724367834787</v>
      </c>
      <c r="O39" s="10">
        <f>N38+'Other data'!AQ29</f>
        <v>37.859724367834787</v>
      </c>
      <c r="P39" s="10">
        <f>O38+'Other data'!AR29</f>
        <v>40.859724367834787</v>
      </c>
      <c r="Q39" s="10">
        <f>P38+'Other data'!AS29</f>
        <v>43.859724367834787</v>
      </c>
      <c r="R39" s="3">
        <v>10</v>
      </c>
      <c r="S39" s="3">
        <v>6</v>
      </c>
      <c r="T39" s="3" t="s">
        <v>100</v>
      </c>
      <c r="U39" s="3" t="s">
        <v>90</v>
      </c>
      <c r="V39" s="18">
        <f t="shared" si="1"/>
        <v>45</v>
      </c>
    </row>
    <row r="40" spans="3:22" ht="16.5" x14ac:dyDescent="0.3">
      <c r="C40" s="91">
        <f>'Other data'!AU30</f>
        <v>23.328296790163609</v>
      </c>
      <c r="D40" s="10">
        <f>C39+'Other data'!AF30</f>
        <v>24.828296790163609</v>
      </c>
      <c r="E40" s="10">
        <f>D39+'Other data'!AG30</f>
        <v>13.859724367834785</v>
      </c>
      <c r="F40" s="10">
        <f>E39+'Other data'!AH30</f>
        <v>15.359724367834785</v>
      </c>
      <c r="G40" s="10">
        <f>F39+'Other data'!AI30</f>
        <v>16.859724367834787</v>
      </c>
      <c r="H40" s="10">
        <f>G39+'Other data'!AJ30</f>
        <v>18.359724367834787</v>
      </c>
      <c r="I40" s="10">
        <f>H39+'Other data'!AK30</f>
        <v>19.859724367834787</v>
      </c>
      <c r="J40" s="10">
        <f>I39+'Other data'!AL30</f>
        <v>21.359724367834787</v>
      </c>
      <c r="K40" s="10">
        <f>J39+'Other data'!AM30</f>
        <v>24.359724367834787</v>
      </c>
      <c r="L40" s="10">
        <f>K39+'Other data'!AN30</f>
        <v>27.359724367834787</v>
      </c>
      <c r="M40" s="10">
        <f>L39+'Other data'!AO30</f>
        <v>30.359724367834787</v>
      </c>
      <c r="N40" s="10">
        <f>M39+'Other data'!AP30</f>
        <v>33.359724367834787</v>
      </c>
      <c r="O40" s="10">
        <f>N39+'Other data'!AQ30</f>
        <v>36.359724367834787</v>
      </c>
      <c r="P40" s="10">
        <f>O39+'Other data'!AR30</f>
        <v>39.359724367834787</v>
      </c>
      <c r="Q40" s="10">
        <f>P39+'Other data'!AS30</f>
        <v>42.359724367834787</v>
      </c>
      <c r="R40" s="3">
        <v>10</v>
      </c>
      <c r="S40" s="3">
        <v>6</v>
      </c>
      <c r="T40" s="3" t="s">
        <v>100</v>
      </c>
      <c r="U40" s="3" t="s">
        <v>90</v>
      </c>
      <c r="V40" s="18">
        <f t="shared" si="1"/>
        <v>46</v>
      </c>
    </row>
    <row r="41" spans="3:22" ht="16.5" x14ac:dyDescent="0.3">
      <c r="C41" s="91">
        <f>'Other data'!AU31</f>
        <v>23.328296790163609</v>
      </c>
      <c r="D41" s="10">
        <f>C40+'Other data'!AF31</f>
        <v>24.828296790163609</v>
      </c>
      <c r="E41" s="10">
        <f>D40+'Other data'!AG31</f>
        <v>26.328296790163609</v>
      </c>
      <c r="F41" s="10">
        <f>E40+'Other data'!AH31</f>
        <v>15.359724367834785</v>
      </c>
      <c r="G41" s="10">
        <f>F40+'Other data'!AI31</f>
        <v>16.859724367834787</v>
      </c>
      <c r="H41" s="10">
        <f>G40+'Other data'!AJ31</f>
        <v>18.359724367834787</v>
      </c>
      <c r="I41" s="10">
        <f>H40+'Other data'!AK31</f>
        <v>19.859724367834787</v>
      </c>
      <c r="J41" s="10">
        <f>I40+'Other data'!AL31</f>
        <v>21.359724367834787</v>
      </c>
      <c r="K41" s="10">
        <f>J40+'Other data'!AM31</f>
        <v>22.859724367834787</v>
      </c>
      <c r="L41" s="10">
        <f>K40+'Other data'!AN31</f>
        <v>25.859724367834787</v>
      </c>
      <c r="M41" s="10">
        <f>L40+'Other data'!AO31</f>
        <v>28.859724367834787</v>
      </c>
      <c r="N41" s="10">
        <f>M40+'Other data'!AP31</f>
        <v>31.859724367834787</v>
      </c>
      <c r="O41" s="10">
        <f>N40+'Other data'!AQ31</f>
        <v>34.859724367834787</v>
      </c>
      <c r="P41" s="10">
        <f>O40+'Other data'!AR31</f>
        <v>37.859724367834787</v>
      </c>
      <c r="Q41" s="10">
        <f>P40+'Other data'!AS31</f>
        <v>40.859724367834787</v>
      </c>
      <c r="R41" s="3">
        <v>10</v>
      </c>
      <c r="S41" s="3">
        <v>6</v>
      </c>
      <c r="T41" s="3" t="s">
        <v>100</v>
      </c>
      <c r="U41" s="3" t="s">
        <v>90</v>
      </c>
      <c r="V41" s="18">
        <f t="shared" si="1"/>
        <v>47</v>
      </c>
    </row>
    <row r="42" spans="3:22" ht="16.5" x14ac:dyDescent="0.3">
      <c r="C42" s="91">
        <f>'Other data'!AU32</f>
        <v>23.328296790163609</v>
      </c>
      <c r="D42" s="10">
        <f>C41+'Other data'!AF32</f>
        <v>24.828296790163609</v>
      </c>
      <c r="E42" s="10">
        <f>D41+'Other data'!AG32</f>
        <v>26.328296790163609</v>
      </c>
      <c r="F42" s="10">
        <f>E41+'Other data'!AH32</f>
        <v>27.828296790163609</v>
      </c>
      <c r="G42" s="10">
        <f>F41+'Other data'!AI32</f>
        <v>16.859724367834787</v>
      </c>
      <c r="H42" s="10">
        <f>G41+'Other data'!AJ32</f>
        <v>18.359724367834787</v>
      </c>
      <c r="I42" s="10">
        <f>H41+'Other data'!AK32</f>
        <v>19.859724367834787</v>
      </c>
      <c r="J42" s="10">
        <f>I41+'Other data'!AL32</f>
        <v>21.359724367834787</v>
      </c>
      <c r="K42" s="10">
        <f>J41+'Other data'!AM32</f>
        <v>22.859724367834787</v>
      </c>
      <c r="L42" s="10">
        <f>K41+'Other data'!AN32</f>
        <v>24.359724367834787</v>
      </c>
      <c r="M42" s="10">
        <f>L41+'Other data'!AO32</f>
        <v>27.359724367834787</v>
      </c>
      <c r="N42" s="10">
        <f>M41+'Other data'!AP32</f>
        <v>30.359724367834787</v>
      </c>
      <c r="O42" s="10">
        <f>N41+'Other data'!AQ32</f>
        <v>33.359724367834787</v>
      </c>
      <c r="P42" s="10">
        <f>O41+'Other data'!AR32</f>
        <v>36.359724367834787</v>
      </c>
      <c r="Q42" s="10">
        <f>P41+'Other data'!AS32</f>
        <v>39.359724367834787</v>
      </c>
      <c r="R42" s="3">
        <v>10</v>
      </c>
      <c r="S42" s="3">
        <v>6</v>
      </c>
      <c r="T42" s="3" t="s">
        <v>100</v>
      </c>
      <c r="U42" s="3" t="s">
        <v>90</v>
      </c>
      <c r="V42" s="18">
        <f t="shared" si="1"/>
        <v>48</v>
      </c>
    </row>
    <row r="43" spans="3:22" ht="16.5" x14ac:dyDescent="0.3">
      <c r="C43" s="91">
        <f>'Other data'!AU33</f>
        <v>23.328296790163609</v>
      </c>
      <c r="D43" s="10">
        <f>C42+'Other data'!AF33</f>
        <v>24.828296790163609</v>
      </c>
      <c r="E43" s="10">
        <f>D42+'Other data'!AG33</f>
        <v>26.328296790163609</v>
      </c>
      <c r="F43" s="10">
        <f>E42+'Other data'!AH33</f>
        <v>27.828296790163609</v>
      </c>
      <c r="G43" s="10">
        <f>F42+'Other data'!AI33</f>
        <v>29.328296790163609</v>
      </c>
      <c r="H43" s="10">
        <f>G42+'Other data'!AJ33</f>
        <v>18.359724367834787</v>
      </c>
      <c r="I43" s="10">
        <f>H42+'Other data'!AK33</f>
        <v>19.859724367834787</v>
      </c>
      <c r="J43" s="10">
        <f>I42+'Other data'!AL33</f>
        <v>21.359724367834787</v>
      </c>
      <c r="K43" s="10">
        <f>J42+'Other data'!AM33</f>
        <v>22.859724367834787</v>
      </c>
      <c r="L43" s="10">
        <f>K42+'Other data'!AN33</f>
        <v>24.359724367834787</v>
      </c>
      <c r="M43" s="10">
        <f>L42+'Other data'!AO33</f>
        <v>25.859724367834787</v>
      </c>
      <c r="N43" s="10">
        <f>M42+'Other data'!AP33</f>
        <v>28.859724367834787</v>
      </c>
      <c r="O43" s="10">
        <f>N42+'Other data'!AQ33</f>
        <v>31.859724367834787</v>
      </c>
      <c r="P43" s="10">
        <f>O42+'Other data'!AR33</f>
        <v>34.859724367834787</v>
      </c>
      <c r="Q43" s="10">
        <f>P42+'Other data'!AS33</f>
        <v>37.859724367834787</v>
      </c>
      <c r="R43" s="3">
        <v>10</v>
      </c>
      <c r="S43" s="3">
        <v>6</v>
      </c>
      <c r="T43" s="3" t="s">
        <v>100</v>
      </c>
      <c r="U43" s="3" t="s">
        <v>90</v>
      </c>
      <c r="V43" s="18">
        <f t="shared" si="1"/>
        <v>49</v>
      </c>
    </row>
    <row r="44" spans="3:22" ht="16.5" x14ac:dyDescent="0.3">
      <c r="C44" s="91">
        <f>'Other data'!AU34</f>
        <v>23.328296790163609</v>
      </c>
      <c r="D44" s="10">
        <f>C43+'Other data'!AF34</f>
        <v>23.928296790163611</v>
      </c>
      <c r="E44" s="10">
        <f>D43+'Other data'!AG34</f>
        <v>25.428296790163611</v>
      </c>
      <c r="F44" s="10">
        <f>E43+'Other data'!AH34</f>
        <v>26.928296790163611</v>
      </c>
      <c r="G44" s="10">
        <f>F43+'Other data'!AI34</f>
        <v>28.428296790163611</v>
      </c>
      <c r="H44" s="10">
        <f>G43+'Other data'!AJ34</f>
        <v>29.928296790163611</v>
      </c>
      <c r="I44" s="10">
        <f>H43+'Other data'!AK34</f>
        <v>18.959724367834788</v>
      </c>
      <c r="J44" s="10">
        <f>I43+'Other data'!AL34</f>
        <v>20.459724367834788</v>
      </c>
      <c r="K44" s="10">
        <f>J43+'Other data'!AM34</f>
        <v>21.959724367834788</v>
      </c>
      <c r="L44" s="10">
        <f>K43+'Other data'!AN34</f>
        <v>23.459724367834788</v>
      </c>
      <c r="M44" s="10">
        <f>L43+'Other data'!AO34</f>
        <v>24.959724367834788</v>
      </c>
      <c r="N44" s="10">
        <f>M43+'Other data'!AP34</f>
        <v>26.459724367834788</v>
      </c>
      <c r="O44" s="10">
        <f>N43+'Other data'!AQ34</f>
        <v>29.459724367834788</v>
      </c>
      <c r="P44" s="10">
        <f>O43+'Other data'!AR34</f>
        <v>32.459724367834788</v>
      </c>
      <c r="Q44" s="10">
        <f>P43+'Other data'!AS34</f>
        <v>35.459724367834788</v>
      </c>
      <c r="R44" s="3">
        <v>10</v>
      </c>
      <c r="S44" s="3">
        <v>6</v>
      </c>
      <c r="T44" s="3" t="s">
        <v>96</v>
      </c>
      <c r="U44" s="3" t="s">
        <v>90</v>
      </c>
      <c r="V44" s="18">
        <f t="shared" si="1"/>
        <v>50</v>
      </c>
    </row>
    <row r="45" spans="3:22" ht="16.5" x14ac:dyDescent="0.3">
      <c r="C45" s="91">
        <f>'Other data'!AU35</f>
        <v>41.315218039407</v>
      </c>
      <c r="D45" s="10">
        <f>C44+'Other data'!AF35</f>
        <v>23.928296790163611</v>
      </c>
      <c r="E45" s="10">
        <f>D44+'Other data'!AG35</f>
        <v>24.528296790163612</v>
      </c>
      <c r="F45" s="10">
        <f>E44+'Other data'!AH35</f>
        <v>26.028296790163612</v>
      </c>
      <c r="G45" s="10">
        <f>F44+'Other data'!AI35</f>
        <v>27.528296790163612</v>
      </c>
      <c r="H45" s="10">
        <f>G44+'Other data'!AJ35</f>
        <v>29.028296790163612</v>
      </c>
      <c r="I45" s="10">
        <f>H44+'Other data'!AK35</f>
        <v>30.528296790163612</v>
      </c>
      <c r="J45" s="10">
        <f>I44+'Other data'!AL35</f>
        <v>19.559724367834789</v>
      </c>
      <c r="K45" s="10">
        <f>J44+'Other data'!AM35</f>
        <v>21.059724367834789</v>
      </c>
      <c r="L45" s="10">
        <f>K44+'Other data'!AN35</f>
        <v>22.559724367834789</v>
      </c>
      <c r="M45" s="10">
        <f>L44+'Other data'!AO35</f>
        <v>24.059724367834789</v>
      </c>
      <c r="N45" s="10">
        <f>M44+'Other data'!AP35</f>
        <v>25.559724367834789</v>
      </c>
      <c r="O45" s="10">
        <f>N44+'Other data'!AQ35</f>
        <v>27.059724367834789</v>
      </c>
      <c r="P45" s="10">
        <f>O44+'Other data'!AR35</f>
        <v>30.059724367834789</v>
      </c>
      <c r="Q45" s="10">
        <f>P44+'Other data'!AS35</f>
        <v>33.059724367834789</v>
      </c>
      <c r="R45" s="3">
        <v>10</v>
      </c>
      <c r="S45" s="3">
        <v>5</v>
      </c>
      <c r="T45" s="3" t="s">
        <v>96</v>
      </c>
      <c r="U45" s="3" t="s">
        <v>91</v>
      </c>
      <c r="V45" s="18">
        <f t="shared" si="1"/>
        <v>51</v>
      </c>
    </row>
    <row r="46" spans="3:22" ht="16.5" x14ac:dyDescent="0.3">
      <c r="C46" s="91">
        <f>'Other data'!AU36</f>
        <v>41.315218039407</v>
      </c>
      <c r="D46" s="10">
        <f>C45+'Other data'!AF36</f>
        <v>41.915218039407002</v>
      </c>
      <c r="E46" s="10">
        <f>D45+'Other data'!AG36</f>
        <v>24.528296790163612</v>
      </c>
      <c r="F46" s="10">
        <f>E45+'Other data'!AH36</f>
        <v>25.128296790163613</v>
      </c>
      <c r="G46" s="10">
        <f>F45+'Other data'!AI36</f>
        <v>26.628296790163613</v>
      </c>
      <c r="H46" s="10">
        <f>G45+'Other data'!AJ36</f>
        <v>28.128296790163613</v>
      </c>
      <c r="I46" s="10">
        <f>H45+'Other data'!AK36</f>
        <v>29.628296790163613</v>
      </c>
      <c r="J46" s="10">
        <f>I45+'Other data'!AL36</f>
        <v>31.128296790163613</v>
      </c>
      <c r="K46" s="10">
        <f>J45+'Other data'!AM36</f>
        <v>20.159724367834791</v>
      </c>
      <c r="L46" s="10">
        <f>K45+'Other data'!AN36</f>
        <v>21.659724367834791</v>
      </c>
      <c r="M46" s="10">
        <f>L45+'Other data'!AO36</f>
        <v>23.159724367834791</v>
      </c>
      <c r="N46" s="10">
        <f>M45+'Other data'!AP36</f>
        <v>24.659724367834791</v>
      </c>
      <c r="O46" s="10">
        <f>N45+'Other data'!AQ36</f>
        <v>26.159724367834791</v>
      </c>
      <c r="P46" s="10">
        <f>O45+'Other data'!AR36</f>
        <v>27.659724367834791</v>
      </c>
      <c r="Q46" s="10">
        <f>P45+'Other data'!AS36</f>
        <v>30.659724367834791</v>
      </c>
      <c r="R46" s="3">
        <v>10</v>
      </c>
      <c r="S46" s="3">
        <v>5</v>
      </c>
      <c r="T46" s="3" t="s">
        <v>96</v>
      </c>
      <c r="U46" s="3" t="s">
        <v>91</v>
      </c>
      <c r="V46" s="18">
        <f t="shared" si="1"/>
        <v>52</v>
      </c>
    </row>
    <row r="47" spans="3:22" ht="16.5" x14ac:dyDescent="0.3">
      <c r="C47" s="91">
        <f>'Other data'!AU37</f>
        <v>41.315218039407</v>
      </c>
      <c r="D47" s="10">
        <f>C46+'Other data'!AF37</f>
        <v>41.915218039407002</v>
      </c>
      <c r="E47" s="10">
        <f>D46+'Other data'!AG37</f>
        <v>42.515218039407003</v>
      </c>
      <c r="F47" s="10">
        <f>E46+'Other data'!AH37</f>
        <v>25.128296790163613</v>
      </c>
      <c r="G47" s="10">
        <f>F46+'Other data'!AI37</f>
        <v>25.728296790163615</v>
      </c>
      <c r="H47" s="10">
        <f>G46+'Other data'!AJ37</f>
        <v>27.228296790163615</v>
      </c>
      <c r="I47" s="10">
        <f>H46+'Other data'!AK37</f>
        <v>28.728296790163615</v>
      </c>
      <c r="J47" s="10">
        <f>I46+'Other data'!AL37</f>
        <v>30.228296790163615</v>
      </c>
      <c r="K47" s="10">
        <f>J46+'Other data'!AM37</f>
        <v>31.728296790163615</v>
      </c>
      <c r="L47" s="10">
        <f>K46+'Other data'!AN37</f>
        <v>20.759724367834792</v>
      </c>
      <c r="M47" s="10">
        <f>L46+'Other data'!AO37</f>
        <v>22.259724367834792</v>
      </c>
      <c r="N47" s="10">
        <f>M46+'Other data'!AP37</f>
        <v>23.759724367834792</v>
      </c>
      <c r="O47" s="10">
        <f>N46+'Other data'!AQ37</f>
        <v>25.259724367834792</v>
      </c>
      <c r="P47" s="10">
        <f>O46+'Other data'!AR37</f>
        <v>26.759724367834792</v>
      </c>
      <c r="Q47" s="10">
        <f>P46+'Other data'!AS37</f>
        <v>28.259724367834792</v>
      </c>
      <c r="R47" s="3">
        <v>10</v>
      </c>
      <c r="S47" s="3">
        <v>5</v>
      </c>
      <c r="T47" s="3" t="s">
        <v>96</v>
      </c>
      <c r="U47" s="3" t="s">
        <v>91</v>
      </c>
      <c r="V47" s="18">
        <f t="shared" si="1"/>
        <v>53</v>
      </c>
    </row>
    <row r="48" spans="3:22" ht="16.5" x14ac:dyDescent="0.3">
      <c r="C48" s="91">
        <f>'Other data'!AU38</f>
        <v>41.315218039407</v>
      </c>
      <c r="D48" s="10">
        <f>C47+'Other data'!AF38</f>
        <v>41.915218039407002</v>
      </c>
      <c r="E48" s="10">
        <f>D47+'Other data'!AG38</f>
        <v>42.515218039407003</v>
      </c>
      <c r="F48" s="10">
        <f>E47+'Other data'!AH38</f>
        <v>43.115218039407004</v>
      </c>
      <c r="G48" s="10">
        <f>F47+'Other data'!AI38</f>
        <v>25.728296790163615</v>
      </c>
      <c r="H48" s="10">
        <f>G47+'Other data'!AJ38</f>
        <v>26.328296790163616</v>
      </c>
      <c r="I48" s="10">
        <f>H47+'Other data'!AK38</f>
        <v>27.828296790163616</v>
      </c>
      <c r="J48" s="10">
        <f>I47+'Other data'!AL38</f>
        <v>29.328296790163616</v>
      </c>
      <c r="K48" s="10">
        <f>J47+'Other data'!AM38</f>
        <v>30.828296790163616</v>
      </c>
      <c r="L48" s="10">
        <f>K47+'Other data'!AN38</f>
        <v>32.328296790163613</v>
      </c>
      <c r="M48" s="10">
        <f>L47+'Other data'!AO38</f>
        <v>21.359724367834794</v>
      </c>
      <c r="N48" s="10">
        <f>M47+'Other data'!AP38</f>
        <v>22.859724367834794</v>
      </c>
      <c r="O48" s="10">
        <f>N47+'Other data'!AQ38</f>
        <v>24.359724367834794</v>
      </c>
      <c r="P48" s="10">
        <f>O47+'Other data'!AR38</f>
        <v>25.859724367834794</v>
      </c>
      <c r="Q48" s="10">
        <f>P47+'Other data'!AS38</f>
        <v>27.359724367834794</v>
      </c>
      <c r="R48" s="3">
        <v>10</v>
      </c>
      <c r="S48" s="3">
        <v>5</v>
      </c>
      <c r="T48" s="3" t="s">
        <v>96</v>
      </c>
      <c r="U48" s="3" t="s">
        <v>91</v>
      </c>
      <c r="V48" s="18">
        <f t="shared" si="1"/>
        <v>54</v>
      </c>
    </row>
    <row r="49" spans="1:22" ht="16.5" x14ac:dyDescent="0.3">
      <c r="C49" s="91">
        <f>'Other data'!AU39</f>
        <v>41.315218039407</v>
      </c>
      <c r="D49" s="10">
        <f>C48+'Other data'!AF39</f>
        <v>41.915218039407002</v>
      </c>
      <c r="E49" s="10">
        <f>D48+'Other data'!AG39</f>
        <v>42.515218039407003</v>
      </c>
      <c r="F49" s="10">
        <f>E48+'Other data'!AH39</f>
        <v>43.115218039407004</v>
      </c>
      <c r="G49" s="10">
        <f>F48+'Other data'!AI39</f>
        <v>43.715218039407006</v>
      </c>
      <c r="H49" s="10">
        <f>G48+'Other data'!AJ39</f>
        <v>26.328296790163616</v>
      </c>
      <c r="I49" s="10">
        <f>H48+'Other data'!AK39</f>
        <v>26.928296790163618</v>
      </c>
      <c r="J49" s="10">
        <f>I48+'Other data'!AL39</f>
        <v>28.428296790163618</v>
      </c>
      <c r="K49" s="10">
        <f>J48+'Other data'!AM39</f>
        <v>29.928296790163618</v>
      </c>
      <c r="L49" s="10">
        <f>K48+'Other data'!AN39</f>
        <v>31.428296790163618</v>
      </c>
      <c r="M49" s="10">
        <f>L48+'Other data'!AO39</f>
        <v>32.928296790163614</v>
      </c>
      <c r="N49" s="10">
        <f>M48+'Other data'!AP39</f>
        <v>21.959724367834795</v>
      </c>
      <c r="O49" s="10">
        <f>N48+'Other data'!AQ39</f>
        <v>23.459724367834795</v>
      </c>
      <c r="P49" s="10">
        <f>O48+'Other data'!AR39</f>
        <v>24.959724367834795</v>
      </c>
      <c r="Q49" s="10">
        <f>P48+'Other data'!AS39</f>
        <v>26.459724367834795</v>
      </c>
      <c r="R49" s="3">
        <v>10</v>
      </c>
      <c r="S49" s="3">
        <v>5</v>
      </c>
      <c r="T49" s="3" t="s">
        <v>96</v>
      </c>
      <c r="U49" s="3" t="s">
        <v>91</v>
      </c>
      <c r="V49" s="18">
        <f t="shared" si="1"/>
        <v>55</v>
      </c>
    </row>
    <row r="50" spans="1:22" ht="16.5" x14ac:dyDescent="0.3">
      <c r="C50" s="91">
        <f>'Other data'!AU40</f>
        <v>41.894403339024855</v>
      </c>
      <c r="D50" s="10">
        <f>C49+'Other data'!AF40</f>
        <v>41.915218039407002</v>
      </c>
      <c r="E50" s="10">
        <f>D49+'Other data'!AG40</f>
        <v>42.515218039407003</v>
      </c>
      <c r="F50" s="10">
        <f>E49+'Other data'!AH40</f>
        <v>43.115218039407004</v>
      </c>
      <c r="G50" s="10">
        <f>F49+'Other data'!AI40</f>
        <v>43.715218039407006</v>
      </c>
      <c r="H50" s="10">
        <f>G49+'Other data'!AJ40</f>
        <v>44.315218039407007</v>
      </c>
      <c r="I50" s="10">
        <f>H49+'Other data'!AK40</f>
        <v>26.928296790163618</v>
      </c>
      <c r="J50" s="10">
        <f>I49+'Other data'!AL40</f>
        <v>27.528296790163619</v>
      </c>
      <c r="K50" s="10">
        <f>J49+'Other data'!AM40</f>
        <v>29.028296790163619</v>
      </c>
      <c r="L50" s="10">
        <f>K49+'Other data'!AN40</f>
        <v>30.528296790163619</v>
      </c>
      <c r="M50" s="10">
        <f>L49+'Other data'!AO40</f>
        <v>32.028296790163616</v>
      </c>
      <c r="N50" s="10">
        <f>M49+'Other data'!AP40</f>
        <v>33.528296790163616</v>
      </c>
      <c r="O50" s="10">
        <f>N49+'Other data'!AQ40</f>
        <v>22.559724367834797</v>
      </c>
      <c r="P50" s="10">
        <f>O49+'Other data'!AR40</f>
        <v>24.059724367834797</v>
      </c>
      <c r="Q50" s="10">
        <f>P49+'Other data'!AS40</f>
        <v>25.559724367834797</v>
      </c>
      <c r="R50" s="3">
        <v>10</v>
      </c>
      <c r="S50" s="3">
        <v>5</v>
      </c>
      <c r="T50" s="3" t="s">
        <v>96</v>
      </c>
      <c r="U50" s="3" t="s">
        <v>92</v>
      </c>
      <c r="V50" s="18">
        <f t="shared" si="1"/>
        <v>56</v>
      </c>
    </row>
    <row r="51" spans="1:22" ht="16.5" x14ac:dyDescent="0.3">
      <c r="C51" s="91">
        <f>'Other data'!AU41</f>
        <v>41.894403339024855</v>
      </c>
      <c r="D51" s="10">
        <f>C50+'Other data'!AF41</f>
        <v>42.494403339024856</v>
      </c>
      <c r="E51" s="10">
        <f>D50+'Other data'!AG41</f>
        <v>42.515218039407003</v>
      </c>
      <c r="F51" s="10">
        <f>E50+'Other data'!AH41</f>
        <v>43.115218039407004</v>
      </c>
      <c r="G51" s="10">
        <f>F50+'Other data'!AI41</f>
        <v>43.715218039407006</v>
      </c>
      <c r="H51" s="10">
        <f>G50+'Other data'!AJ41</f>
        <v>44.315218039407007</v>
      </c>
      <c r="I51" s="10">
        <f>H50+'Other data'!AK41</f>
        <v>44.915218039407009</v>
      </c>
      <c r="J51" s="10">
        <f>I50+'Other data'!AL41</f>
        <v>27.528296790163619</v>
      </c>
      <c r="K51" s="10">
        <f>J50+'Other data'!AM41</f>
        <v>28.12829679016362</v>
      </c>
      <c r="L51" s="10">
        <f>K50+'Other data'!AN41</f>
        <v>29.62829679016362</v>
      </c>
      <c r="M51" s="10">
        <f>L50+'Other data'!AO41</f>
        <v>31.12829679016362</v>
      </c>
      <c r="N51" s="10">
        <f>M50+'Other data'!AP41</f>
        <v>32.628296790163617</v>
      </c>
      <c r="O51" s="10">
        <f>N50+'Other data'!AQ41</f>
        <v>34.128296790163617</v>
      </c>
      <c r="P51" s="10">
        <f>O50+'Other data'!AR41</f>
        <v>23.159724367834798</v>
      </c>
      <c r="Q51" s="10">
        <f>P50+'Other data'!AS41</f>
        <v>24.659724367834798</v>
      </c>
      <c r="R51" s="3">
        <v>10</v>
      </c>
      <c r="S51" s="3">
        <v>5</v>
      </c>
      <c r="T51" s="3" t="s">
        <v>96</v>
      </c>
      <c r="U51" s="3" t="s">
        <v>92</v>
      </c>
      <c r="V51" s="18">
        <f t="shared" si="1"/>
        <v>57</v>
      </c>
    </row>
    <row r="52" spans="1:22" ht="16.5" x14ac:dyDescent="0.3">
      <c r="C52" s="91">
        <f>'Other data'!AU42</f>
        <v>41.894403339024855</v>
      </c>
      <c r="D52" s="10">
        <f>C51+'Other data'!AF42</f>
        <v>42.494403339024856</v>
      </c>
      <c r="E52" s="10">
        <f>D51+'Other data'!AG42</f>
        <v>43.094403339024858</v>
      </c>
      <c r="F52" s="10">
        <f>E51+'Other data'!AH42</f>
        <v>43.115218039407004</v>
      </c>
      <c r="G52" s="10">
        <f>F51+'Other data'!AI42</f>
        <v>43.715218039407006</v>
      </c>
      <c r="H52" s="10">
        <f>G51+'Other data'!AJ42</f>
        <v>44.315218039407007</v>
      </c>
      <c r="I52" s="10">
        <f>H51+'Other data'!AK42</f>
        <v>44.915218039407009</v>
      </c>
      <c r="J52" s="10">
        <f>I51+'Other data'!AL42</f>
        <v>45.51521803940701</v>
      </c>
      <c r="K52" s="10">
        <f>J51+'Other data'!AM42</f>
        <v>28.12829679016362</v>
      </c>
      <c r="L52" s="10">
        <f>K51+'Other data'!AN42</f>
        <v>28.728296790163622</v>
      </c>
      <c r="M52" s="10">
        <f>L51+'Other data'!AO42</f>
        <v>30.228296790163622</v>
      </c>
      <c r="N52" s="10">
        <f>M51+'Other data'!AP42</f>
        <v>31.728296790163622</v>
      </c>
      <c r="O52" s="10">
        <f>N51+'Other data'!AQ42</f>
        <v>33.228296790163618</v>
      </c>
      <c r="P52" s="10">
        <f>O51+'Other data'!AR42</f>
        <v>34.728296790163618</v>
      </c>
      <c r="Q52" s="10">
        <f>P51+'Other data'!AS42</f>
        <v>23.759724367834799</v>
      </c>
      <c r="R52" s="3">
        <v>10</v>
      </c>
      <c r="S52" s="3">
        <v>5</v>
      </c>
      <c r="T52" s="3" t="s">
        <v>96</v>
      </c>
      <c r="U52" s="3" t="s">
        <v>92</v>
      </c>
      <c r="V52" s="18">
        <f t="shared" si="1"/>
        <v>58</v>
      </c>
    </row>
    <row r="53" spans="1:22" ht="16.5" x14ac:dyDescent="0.3">
      <c r="C53" s="91">
        <f>'Other data'!AU43</f>
        <v>41.894403339024855</v>
      </c>
      <c r="D53" s="10">
        <f>C52+'Other data'!AF43</f>
        <v>42.494403339024856</v>
      </c>
      <c r="E53" s="10">
        <f>D52+'Other data'!AG43</f>
        <v>43.094403339024858</v>
      </c>
      <c r="F53" s="10">
        <f>E52+'Other data'!AH43</f>
        <v>43.694403339024859</v>
      </c>
      <c r="G53" s="10">
        <f>F52+'Other data'!AI43</f>
        <v>43.715218039407006</v>
      </c>
      <c r="H53" s="10">
        <f>G52+'Other data'!AJ43</f>
        <v>44.315218039407007</v>
      </c>
      <c r="I53" s="10">
        <f>H52+'Other data'!AK43</f>
        <v>44.915218039407009</v>
      </c>
      <c r="J53" s="10">
        <f>I52+'Other data'!AL43</f>
        <v>45.51521803940701</v>
      </c>
      <c r="K53" s="10">
        <f>J52+'Other data'!AM43</f>
        <v>46.115218039407011</v>
      </c>
      <c r="L53" s="10">
        <f>K52+'Other data'!AN43</f>
        <v>28.728296790163622</v>
      </c>
      <c r="M53" s="10">
        <f>L52+'Other data'!AO43</f>
        <v>29.328296790163623</v>
      </c>
      <c r="N53" s="10">
        <f>M52+'Other data'!AP43</f>
        <v>30.828296790163623</v>
      </c>
      <c r="O53" s="10">
        <f>N52+'Other data'!AQ43</f>
        <v>32.32829679016362</v>
      </c>
      <c r="P53" s="10">
        <f>O52+'Other data'!AR43</f>
        <v>33.82829679016362</v>
      </c>
      <c r="Q53" s="10">
        <f>P52+'Other data'!AS43</f>
        <v>35.32829679016362</v>
      </c>
      <c r="R53" s="3">
        <v>10</v>
      </c>
      <c r="S53" s="3">
        <v>5</v>
      </c>
      <c r="T53" s="3" t="s">
        <v>96</v>
      </c>
      <c r="U53" s="3" t="s">
        <v>92</v>
      </c>
      <c r="V53" s="18">
        <f t="shared" si="1"/>
        <v>59</v>
      </c>
    </row>
    <row r="54" spans="1:22" ht="16.5" x14ac:dyDescent="0.3">
      <c r="C54" s="91">
        <f>'Other data'!AU44</f>
        <v>41.894403339024855</v>
      </c>
      <c r="D54" s="10">
        <f>C53+'Other data'!AF44</f>
        <v>41.894403339024855</v>
      </c>
      <c r="E54" s="10">
        <f>D53+'Other data'!AG44</f>
        <v>42.494403339024856</v>
      </c>
      <c r="F54" s="10">
        <f>E53+'Other data'!AH44</f>
        <v>43.094403339024858</v>
      </c>
      <c r="G54" s="10">
        <f>F53+'Other data'!AI44</f>
        <v>43.694403339024859</v>
      </c>
      <c r="H54" s="10">
        <f>G53+'Other data'!AJ44</f>
        <v>43.715218039407006</v>
      </c>
      <c r="I54" s="10">
        <f>H53+'Other data'!AK44</f>
        <v>44.315218039407007</v>
      </c>
      <c r="J54" s="10">
        <f>I53+'Other data'!AL44</f>
        <v>44.915218039407009</v>
      </c>
      <c r="K54" s="10">
        <f>J53+'Other data'!AM44</f>
        <v>45.51521803940701</v>
      </c>
      <c r="L54" s="10">
        <f>K53+'Other data'!AN44</f>
        <v>46.115218039407011</v>
      </c>
      <c r="M54" s="10">
        <f>L53+'Other data'!AO44</f>
        <v>28.728296790163622</v>
      </c>
      <c r="N54" s="10">
        <f>M53+'Other data'!AP44</f>
        <v>29.328296790163623</v>
      </c>
      <c r="O54" s="10">
        <f>N53+'Other data'!AQ44</f>
        <v>30.828296790163623</v>
      </c>
      <c r="P54" s="10">
        <f>O53+'Other data'!AR44</f>
        <v>32.32829679016362</v>
      </c>
      <c r="Q54" s="10">
        <f>P53+'Other data'!AS44</f>
        <v>33.82829679016362</v>
      </c>
      <c r="R54" s="3">
        <v>5</v>
      </c>
      <c r="S54" s="3">
        <v>5</v>
      </c>
      <c r="T54" s="3" t="s">
        <v>104</v>
      </c>
      <c r="U54" s="3" t="s">
        <v>92</v>
      </c>
      <c r="V54" s="18">
        <f t="shared" si="1"/>
        <v>60</v>
      </c>
    </row>
    <row r="55" spans="1:22" ht="16.5" x14ac:dyDescent="0.3">
      <c r="C55" s="91">
        <f>'Other data'!AU45</f>
        <v>55.263930671870341</v>
      </c>
      <c r="D55" s="10">
        <f>C54+'Other data'!AF45</f>
        <v>41.894403339024855</v>
      </c>
      <c r="E55" s="10">
        <f>D54+'Other data'!AG45</f>
        <v>41.894403339024855</v>
      </c>
      <c r="F55" s="10">
        <f>E54+'Other data'!AH45</f>
        <v>42.494403339024856</v>
      </c>
      <c r="G55" s="10">
        <f>F54+'Other data'!AI45</f>
        <v>43.094403339024858</v>
      </c>
      <c r="H55" s="10">
        <f>G54+'Other data'!AJ45</f>
        <v>43.694403339024859</v>
      </c>
      <c r="I55" s="10">
        <f>H54+'Other data'!AK45</f>
        <v>43.715218039407006</v>
      </c>
      <c r="J55" s="10">
        <f>I54+'Other data'!AL45</f>
        <v>44.315218039407007</v>
      </c>
      <c r="K55" s="10">
        <f>J54+'Other data'!AM45</f>
        <v>44.915218039407009</v>
      </c>
      <c r="L55" s="10">
        <f>K54+'Other data'!AN45</f>
        <v>45.51521803940701</v>
      </c>
      <c r="M55" s="10">
        <f>L54+'Other data'!AO45</f>
        <v>46.115218039407011</v>
      </c>
      <c r="N55" s="10">
        <f>M54+'Other data'!AP45</f>
        <v>28.728296790163622</v>
      </c>
      <c r="O55" s="10">
        <f>N54+'Other data'!AQ45</f>
        <v>29.328296790163623</v>
      </c>
      <c r="P55" s="10">
        <f>O54+'Other data'!AR45</f>
        <v>30.828296790163623</v>
      </c>
      <c r="Q55" s="10">
        <f>P54+'Other data'!AS45</f>
        <v>32.32829679016362</v>
      </c>
      <c r="R55" s="3">
        <v>5</v>
      </c>
      <c r="S55" s="3">
        <v>4</v>
      </c>
      <c r="T55" s="3" t="s">
        <v>104</v>
      </c>
      <c r="U55" s="3" t="s">
        <v>93</v>
      </c>
      <c r="V55" s="18">
        <f t="shared" si="1"/>
        <v>61</v>
      </c>
    </row>
    <row r="56" spans="1:22" ht="16.5" x14ac:dyDescent="0.3">
      <c r="C56" s="91">
        <f>'Other data'!AU46</f>
        <v>55.263930671870341</v>
      </c>
      <c r="D56" s="10">
        <f>C55+'Other data'!AF46</f>
        <v>55.263930671870341</v>
      </c>
      <c r="E56" s="10">
        <f>D55+'Other data'!AG46</f>
        <v>41.894403339024855</v>
      </c>
      <c r="F56" s="10">
        <f>E55+'Other data'!AH46</f>
        <v>41.894403339024855</v>
      </c>
      <c r="G56" s="10">
        <f>F55+'Other data'!AI46</f>
        <v>42.494403339024856</v>
      </c>
      <c r="H56" s="10">
        <f>G55+'Other data'!AJ46</f>
        <v>43.094403339024858</v>
      </c>
      <c r="I56" s="10">
        <f>H55+'Other data'!AK46</f>
        <v>43.694403339024859</v>
      </c>
      <c r="J56" s="10">
        <f>I55+'Other data'!AL46</f>
        <v>43.715218039407006</v>
      </c>
      <c r="K56" s="10">
        <f>J55+'Other data'!AM46</f>
        <v>44.315218039407007</v>
      </c>
      <c r="L56" s="10">
        <f>K55+'Other data'!AN46</f>
        <v>44.915218039407009</v>
      </c>
      <c r="M56" s="10">
        <f>L55+'Other data'!AO46</f>
        <v>45.51521803940701</v>
      </c>
      <c r="N56" s="10">
        <f>M55+'Other data'!AP46</f>
        <v>46.115218039407011</v>
      </c>
      <c r="O56" s="10">
        <f>N55+'Other data'!AQ46</f>
        <v>28.728296790163622</v>
      </c>
      <c r="P56" s="10">
        <f>O55+'Other data'!AR46</f>
        <v>29.328296790163623</v>
      </c>
      <c r="Q56" s="10">
        <f>P55+'Other data'!AS46</f>
        <v>30.828296790163623</v>
      </c>
      <c r="R56" s="3">
        <v>5</v>
      </c>
      <c r="S56" s="3">
        <v>4</v>
      </c>
      <c r="T56" s="3" t="s">
        <v>104</v>
      </c>
      <c r="U56" s="3" t="s">
        <v>93</v>
      </c>
      <c r="V56" s="18">
        <f t="shared" si="1"/>
        <v>62</v>
      </c>
    </row>
    <row r="57" spans="1:22" ht="16.5" x14ac:dyDescent="0.3">
      <c r="C57" s="91">
        <f>'Other data'!AU47</f>
        <v>55.263930671870341</v>
      </c>
      <c r="D57" s="10">
        <f>C56+'Other data'!AF47</f>
        <v>55.263930671870341</v>
      </c>
      <c r="E57" s="10">
        <f>D56+'Other data'!AG47</f>
        <v>55.263930671870341</v>
      </c>
      <c r="F57" s="10">
        <f>E56+'Other data'!AH47</f>
        <v>41.894403339024855</v>
      </c>
      <c r="G57" s="10">
        <f>F56+'Other data'!AI47</f>
        <v>41.894403339024855</v>
      </c>
      <c r="H57" s="10">
        <f>G56+'Other data'!AJ47</f>
        <v>42.494403339024856</v>
      </c>
      <c r="I57" s="10">
        <f>H56+'Other data'!AK47</f>
        <v>43.094403339024858</v>
      </c>
      <c r="J57" s="10">
        <f>I56+'Other data'!AL47</f>
        <v>43.694403339024859</v>
      </c>
      <c r="K57" s="10">
        <f>J56+'Other data'!AM47</f>
        <v>43.715218039407006</v>
      </c>
      <c r="L57" s="10">
        <f>K56+'Other data'!AN47</f>
        <v>44.315218039407007</v>
      </c>
      <c r="M57" s="10">
        <f>L56+'Other data'!AO47</f>
        <v>44.915218039407009</v>
      </c>
      <c r="N57" s="10">
        <f>M56+'Other data'!AP47</f>
        <v>45.51521803940701</v>
      </c>
      <c r="O57" s="10">
        <f>N56+'Other data'!AQ47</f>
        <v>46.115218039407011</v>
      </c>
      <c r="P57" s="10">
        <f>O56+'Other data'!AR47</f>
        <v>28.728296790163622</v>
      </c>
      <c r="Q57" s="10">
        <f>P56+'Other data'!AS47</f>
        <v>29.328296790163623</v>
      </c>
      <c r="R57" s="3">
        <v>5</v>
      </c>
      <c r="S57" s="3">
        <v>4</v>
      </c>
      <c r="T57" s="3" t="s">
        <v>104</v>
      </c>
      <c r="U57" s="3" t="s">
        <v>93</v>
      </c>
      <c r="V57" s="18">
        <f t="shared" si="1"/>
        <v>63</v>
      </c>
    </row>
    <row r="58" spans="1:22" ht="16.5" x14ac:dyDescent="0.3">
      <c r="C58" s="91">
        <f>'Other data'!AU48</f>
        <v>55.263930671870341</v>
      </c>
      <c r="D58" s="10">
        <f>C57+'Other data'!AF48</f>
        <v>55.263930671870341</v>
      </c>
      <c r="E58" s="10">
        <f>D57+'Other data'!AG48</f>
        <v>55.263930671870341</v>
      </c>
      <c r="F58" s="10">
        <f>E57+'Other data'!AH48</f>
        <v>55.263930671870341</v>
      </c>
      <c r="G58" s="10">
        <f>F57+'Other data'!AI48</f>
        <v>41.894403339024855</v>
      </c>
      <c r="H58" s="10">
        <f>G57+'Other data'!AJ48</f>
        <v>41.894403339024855</v>
      </c>
      <c r="I58" s="10">
        <f>H57+'Other data'!AK48</f>
        <v>42.494403339024856</v>
      </c>
      <c r="J58" s="10">
        <f>I57+'Other data'!AL48</f>
        <v>43.094403339024858</v>
      </c>
      <c r="K58" s="10">
        <f>J57+'Other data'!AM48</f>
        <v>43.694403339024859</v>
      </c>
      <c r="L58" s="10">
        <f>K57+'Other data'!AN48</f>
        <v>43.715218039407006</v>
      </c>
      <c r="M58" s="10">
        <f>L57+'Other data'!AO48</f>
        <v>44.315218039407007</v>
      </c>
      <c r="N58" s="10">
        <f>M57+'Other data'!AP48</f>
        <v>44.915218039407009</v>
      </c>
      <c r="O58" s="10">
        <f>N57+'Other data'!AQ48</f>
        <v>45.51521803940701</v>
      </c>
      <c r="P58" s="10">
        <f>O57+'Other data'!AR48</f>
        <v>46.115218039407011</v>
      </c>
      <c r="Q58" s="10">
        <f>P57+'Other data'!AS48</f>
        <v>28.728296790163622</v>
      </c>
      <c r="R58" s="3">
        <v>5</v>
      </c>
      <c r="S58" s="3">
        <v>4</v>
      </c>
      <c r="T58" s="3" t="s">
        <v>104</v>
      </c>
      <c r="U58" s="3" t="s">
        <v>93</v>
      </c>
      <c r="V58" s="18">
        <f t="shared" si="1"/>
        <v>64</v>
      </c>
    </row>
    <row r="61" spans="1:22" ht="18" thickBot="1" x14ac:dyDescent="0.35">
      <c r="B61" s="25" t="s">
        <v>414</v>
      </c>
    </row>
    <row r="62" spans="1:22" ht="17.25" thickTop="1" x14ac:dyDescent="0.3">
      <c r="C62" s="3" t="str">
        <f>INDEX(Mapping!$B:$B,MATCH(C63,Mapping!$C:$C,0))</f>
        <v>2017-18</v>
      </c>
      <c r="D62" s="3" t="str">
        <f>INDEX(Mapping!$B:$B,MATCH(D63,Mapping!$C:$C,0))</f>
        <v>2018-19</v>
      </c>
      <c r="E62" s="3" t="str">
        <f>INDEX(Mapping!$B:$B,MATCH(E63,Mapping!$C:$C,0))</f>
        <v>2019-20</v>
      </c>
      <c r="F62" s="3" t="str">
        <f>INDEX(Mapping!$B:$B,MATCH(F63,Mapping!$C:$C,0))</f>
        <v>2020-21</v>
      </c>
      <c r="G62" s="3" t="str">
        <f>INDEX(Mapping!$B:$B,MATCH(G63,Mapping!$C:$C,0))</f>
        <v>2021-22</v>
      </c>
      <c r="H62" s="3" t="str">
        <f>INDEX(Mapping!$B:$B,MATCH(H63,Mapping!$C:$C,0))</f>
        <v>2022-23</v>
      </c>
      <c r="I62" s="3" t="str">
        <f>INDEX(Mapping!$B:$B,MATCH(I63,Mapping!$C:$C,0))</f>
        <v>2023-24</v>
      </c>
      <c r="J62" s="3" t="str">
        <f>INDEX(Mapping!$B:$B,MATCH(J63,Mapping!$C:$C,0))</f>
        <v>2024-25</v>
      </c>
      <c r="K62" s="3" t="str">
        <f>INDEX(Mapping!$B:$B,MATCH(K63,Mapping!$C:$C,0))</f>
        <v>2025-26</v>
      </c>
      <c r="L62" s="3" t="str">
        <f>INDEX(Mapping!$B:$B,MATCH(L63,Mapping!$C:$C,0))</f>
        <v>2026-27</v>
      </c>
      <c r="M62" s="3" t="str">
        <f>INDEX(Mapping!$B:$B,MATCH(M63,Mapping!$C:$C,0))</f>
        <v>2027-28</v>
      </c>
      <c r="N62" s="3" t="str">
        <f>INDEX(Mapping!$B:$B,MATCH(N63,Mapping!$C:$C,0))</f>
        <v>2028-29</v>
      </c>
      <c r="O62" s="3" t="str">
        <f>INDEX(Mapping!$B:$B,MATCH(O63,Mapping!$C:$C,0))</f>
        <v>2029-30</v>
      </c>
      <c r="P62" s="3" t="str">
        <f>INDEX(Mapping!$B:$B,MATCH(P63,Mapping!$C:$C,0))</f>
        <v>2030-31</v>
      </c>
      <c r="Q62" s="3" t="str">
        <f>INDEX(Mapping!$B:$B,MATCH(Q63,Mapping!$C:$C,0))</f>
        <v>2031-32</v>
      </c>
    </row>
    <row r="63" spans="1:22" ht="16.5" x14ac:dyDescent="0.3">
      <c r="C63" s="12">
        <f>baseline</f>
        <v>2017</v>
      </c>
      <c r="D63" s="12">
        <f t="shared" ref="D63:Q63" si="2">C63+1</f>
        <v>2018</v>
      </c>
      <c r="E63" s="12">
        <f t="shared" si="2"/>
        <v>2019</v>
      </c>
      <c r="F63" s="12">
        <f t="shared" si="2"/>
        <v>2020</v>
      </c>
      <c r="G63" s="12">
        <f t="shared" si="2"/>
        <v>2021</v>
      </c>
      <c r="H63" s="12">
        <f t="shared" si="2"/>
        <v>2022</v>
      </c>
      <c r="I63" s="12">
        <f t="shared" si="2"/>
        <v>2023</v>
      </c>
      <c r="J63" s="12">
        <f t="shared" si="2"/>
        <v>2024</v>
      </c>
      <c r="K63" s="12">
        <f t="shared" si="2"/>
        <v>2025</v>
      </c>
      <c r="L63" s="12">
        <f t="shared" si="2"/>
        <v>2026</v>
      </c>
      <c r="M63" s="12">
        <f t="shared" si="2"/>
        <v>2027</v>
      </c>
      <c r="N63" s="12">
        <f t="shared" si="2"/>
        <v>2028</v>
      </c>
      <c r="O63" s="12">
        <f t="shared" si="2"/>
        <v>2029</v>
      </c>
      <c r="P63" s="12">
        <f t="shared" si="2"/>
        <v>2030</v>
      </c>
      <c r="Q63" s="12">
        <f t="shared" si="2"/>
        <v>2031</v>
      </c>
    </row>
    <row r="64" spans="1:22" ht="16.5" x14ac:dyDescent="0.3">
      <c r="A64" s="3" t="str">
        <f>INDEX(Mapping!$Y:$Y,MATCH(B64,Mapping!$W:$W,0))</f>
        <v>Rural</v>
      </c>
      <c r="B64" t="s">
        <v>111</v>
      </c>
      <c r="C64" s="111">
        <f ca="1">SUMIFS(OFFSET(CONSOLIDATED!$H$6:$H$84,0,MATCH(C$62,CONSOLIDATED!$H$2:$V$2,0)-1),CONSOLIDATED!$A$6:$A$84,$B64)</f>
        <v>1.2000000000000002</v>
      </c>
      <c r="D64" s="111">
        <f t="shared" ref="D64:Q64" ca="1" si="3">IF($A64="Rural",$C64,C64*(1+D$149))</f>
        <v>1.2000000000000002</v>
      </c>
      <c r="E64" s="111">
        <f t="shared" ca="1" si="3"/>
        <v>1.2000000000000002</v>
      </c>
      <c r="F64" s="111">
        <f t="shared" ca="1" si="3"/>
        <v>1.2000000000000002</v>
      </c>
      <c r="G64" s="111">
        <f t="shared" ca="1" si="3"/>
        <v>1.2000000000000002</v>
      </c>
      <c r="H64" s="111">
        <f t="shared" ca="1" si="3"/>
        <v>1.2000000000000002</v>
      </c>
      <c r="I64" s="111">
        <f t="shared" ca="1" si="3"/>
        <v>1.2000000000000002</v>
      </c>
      <c r="J64" s="111">
        <f t="shared" ca="1" si="3"/>
        <v>1.2000000000000002</v>
      </c>
      <c r="K64" s="111">
        <f t="shared" ca="1" si="3"/>
        <v>1.2000000000000002</v>
      </c>
      <c r="L64" s="111">
        <f t="shared" ca="1" si="3"/>
        <v>1.2000000000000002</v>
      </c>
      <c r="M64" s="111">
        <f t="shared" ca="1" si="3"/>
        <v>1.2000000000000002</v>
      </c>
      <c r="N64" s="111">
        <f t="shared" ca="1" si="3"/>
        <v>1.2000000000000002</v>
      </c>
      <c r="O64" s="111">
        <f t="shared" ca="1" si="3"/>
        <v>1.2000000000000002</v>
      </c>
      <c r="P64" s="111">
        <f t="shared" ca="1" si="3"/>
        <v>1.2000000000000002</v>
      </c>
      <c r="Q64" s="111">
        <f t="shared" ca="1" si="3"/>
        <v>1.2000000000000002</v>
      </c>
    </row>
    <row r="65" spans="1:17" ht="16.5" x14ac:dyDescent="0.3">
      <c r="A65" s="3" t="str">
        <f>INDEX(Mapping!$Y:$Y,MATCH(B65,Mapping!$W:$W,0))</f>
        <v>Rural</v>
      </c>
      <c r="B65" t="s">
        <v>163</v>
      </c>
      <c r="C65" s="111">
        <f ca="1">SUMIFS(OFFSET(CONSOLIDATED!$H$6:$H$84,0,MATCH(C$62,CONSOLIDATED!$H$2:$V$2,0)-1),CONSOLIDATED!$A$6:$A$84,$B65)</f>
        <v>1.5</v>
      </c>
      <c r="D65" s="111">
        <f t="shared" ref="D65:Q65" ca="1" si="4">IF($A65="Rural",$C65,C65*(1+D$149))</f>
        <v>1.5</v>
      </c>
      <c r="E65" s="111">
        <f t="shared" ca="1" si="4"/>
        <v>1.5</v>
      </c>
      <c r="F65" s="111">
        <f t="shared" ca="1" si="4"/>
        <v>1.5</v>
      </c>
      <c r="G65" s="111">
        <f t="shared" ca="1" si="4"/>
        <v>1.5</v>
      </c>
      <c r="H65" s="111">
        <f t="shared" ca="1" si="4"/>
        <v>1.5</v>
      </c>
      <c r="I65" s="111">
        <f t="shared" ca="1" si="4"/>
        <v>1.5</v>
      </c>
      <c r="J65" s="111">
        <f t="shared" ca="1" si="4"/>
        <v>1.5</v>
      </c>
      <c r="K65" s="111">
        <f t="shared" ca="1" si="4"/>
        <v>1.5</v>
      </c>
      <c r="L65" s="111">
        <f t="shared" ca="1" si="4"/>
        <v>1.5</v>
      </c>
      <c r="M65" s="111">
        <f t="shared" ca="1" si="4"/>
        <v>1.5</v>
      </c>
      <c r="N65" s="111">
        <f t="shared" ca="1" si="4"/>
        <v>1.5</v>
      </c>
      <c r="O65" s="111">
        <f t="shared" ca="1" si="4"/>
        <v>1.5</v>
      </c>
      <c r="P65" s="111">
        <f t="shared" ca="1" si="4"/>
        <v>1.5</v>
      </c>
      <c r="Q65" s="111">
        <f t="shared" ca="1" si="4"/>
        <v>1.5</v>
      </c>
    </row>
    <row r="66" spans="1:17" ht="16.5" x14ac:dyDescent="0.3">
      <c r="A66" s="3" t="str">
        <f>INDEX(Mapping!$Y:$Y,MATCH(B66,Mapping!$W:$W,0))</f>
        <v>Rural</v>
      </c>
      <c r="B66" t="s">
        <v>164</v>
      </c>
      <c r="C66" s="111">
        <f ca="1">SUMIFS(OFFSET(CONSOLIDATED!$H$6:$H$84,0,MATCH(C$62,CONSOLIDATED!$H$2:$V$2,0)-1),CONSOLIDATED!$A$6:$A$84,$B66)</f>
        <v>10.4</v>
      </c>
      <c r="D66" s="111">
        <f t="shared" ref="D66:Q66" ca="1" si="5">IF($A66="Rural",$C66,C66*(1+D$149))</f>
        <v>10.4</v>
      </c>
      <c r="E66" s="111">
        <f t="shared" ca="1" si="5"/>
        <v>10.4</v>
      </c>
      <c r="F66" s="111">
        <f t="shared" ca="1" si="5"/>
        <v>10.4</v>
      </c>
      <c r="G66" s="111">
        <f t="shared" ca="1" si="5"/>
        <v>10.4</v>
      </c>
      <c r="H66" s="111">
        <f t="shared" ca="1" si="5"/>
        <v>10.4</v>
      </c>
      <c r="I66" s="111">
        <f t="shared" ca="1" si="5"/>
        <v>10.4</v>
      </c>
      <c r="J66" s="111">
        <f t="shared" ca="1" si="5"/>
        <v>10.4</v>
      </c>
      <c r="K66" s="111">
        <f t="shared" ca="1" si="5"/>
        <v>10.4</v>
      </c>
      <c r="L66" s="111">
        <f t="shared" ca="1" si="5"/>
        <v>10.4</v>
      </c>
      <c r="M66" s="111">
        <f t="shared" ca="1" si="5"/>
        <v>10.4</v>
      </c>
      <c r="N66" s="111">
        <f t="shared" ca="1" si="5"/>
        <v>10.4</v>
      </c>
      <c r="O66" s="111">
        <f t="shared" ca="1" si="5"/>
        <v>10.4</v>
      </c>
      <c r="P66" s="111">
        <f t="shared" ca="1" si="5"/>
        <v>10.4</v>
      </c>
      <c r="Q66" s="111">
        <f t="shared" ca="1" si="5"/>
        <v>10.4</v>
      </c>
    </row>
    <row r="67" spans="1:17" ht="16.5" x14ac:dyDescent="0.3">
      <c r="A67" s="3" t="str">
        <f>INDEX(Mapping!$Y:$Y,MATCH(B67,Mapping!$W:$W,0))</f>
        <v>Metro</v>
      </c>
      <c r="B67" t="s">
        <v>130</v>
      </c>
      <c r="C67" s="111">
        <f ca="1">SUMIFS(OFFSET(CONSOLIDATED!$H$6:$H$84,0,MATCH(C$62,CONSOLIDATED!$H$2:$V$2,0)-1),CONSOLIDATED!$A$6:$A$84,$B67)</f>
        <v>13.7</v>
      </c>
      <c r="D67" s="111">
        <f t="shared" ref="D67:Q67" ca="1" si="6">IF($A67="Rural",$C67,C67*(1+D$149))</f>
        <v>13.868414436030736</v>
      </c>
      <c r="E67" s="111">
        <f t="shared" ca="1" si="6"/>
        <v>14.036828872061477</v>
      </c>
      <c r="F67" s="111">
        <f t="shared" ca="1" si="6"/>
        <v>14.205243308092211</v>
      </c>
      <c r="G67" s="111">
        <f t="shared" ca="1" si="6"/>
        <v>14.373657744122958</v>
      </c>
      <c r="H67" s="111">
        <f t="shared" ca="1" si="6"/>
        <v>14.718863099529864</v>
      </c>
      <c r="I67" s="111">
        <f t="shared" ca="1" si="6"/>
        <v>15.064068454936773</v>
      </c>
      <c r="J67" s="111">
        <f t="shared" ca="1" si="6"/>
        <v>15.401339756357718</v>
      </c>
      <c r="K67" s="111">
        <f t="shared" ca="1" si="6"/>
        <v>15.730677003792687</v>
      </c>
      <c r="L67" s="111">
        <f t="shared" ca="1" si="6"/>
        <v>16.052080197241683</v>
      </c>
      <c r="M67" s="111">
        <f t="shared" ca="1" si="6"/>
        <v>16.37320814909646</v>
      </c>
      <c r="N67" s="111">
        <f t="shared" ca="1" si="6"/>
        <v>16.686402046965259</v>
      </c>
      <c r="O67" s="111">
        <f t="shared" ca="1" si="6"/>
        <v>16.991661890848096</v>
      </c>
      <c r="P67" s="111">
        <f t="shared" ca="1" si="6"/>
        <v>17.28898768074496</v>
      </c>
      <c r="Q67" s="111">
        <f t="shared" ca="1" si="6"/>
        <v>17.578379416655856</v>
      </c>
    </row>
    <row r="68" spans="1:17" ht="16.5" x14ac:dyDescent="0.3">
      <c r="A68" s="3" t="str">
        <f>INDEX(Mapping!$Y:$Y,MATCH(B68,Mapping!$W:$W,0))</f>
        <v>Rural</v>
      </c>
      <c r="B68" t="s">
        <v>147</v>
      </c>
      <c r="C68" s="111">
        <f ca="1">SUMIFS(OFFSET(CONSOLIDATED!$H$6:$H$84,0,MATCH(C$62,CONSOLIDATED!$H$2:$V$2,0)-1),CONSOLIDATED!$A$6:$A$84,$B68)</f>
        <v>2.9</v>
      </c>
      <c r="D68" s="111">
        <f t="shared" ref="D68:Q68" ca="1" si="7">IF($A68="Rural",$C68,C68*(1+D$149))</f>
        <v>2.9</v>
      </c>
      <c r="E68" s="111">
        <f t="shared" ca="1" si="7"/>
        <v>2.9</v>
      </c>
      <c r="F68" s="111">
        <f t="shared" ca="1" si="7"/>
        <v>2.9</v>
      </c>
      <c r="G68" s="111">
        <f t="shared" ca="1" si="7"/>
        <v>2.9</v>
      </c>
      <c r="H68" s="111">
        <f t="shared" ca="1" si="7"/>
        <v>2.9</v>
      </c>
      <c r="I68" s="111">
        <f t="shared" ca="1" si="7"/>
        <v>2.9</v>
      </c>
      <c r="J68" s="111">
        <f t="shared" ca="1" si="7"/>
        <v>2.9</v>
      </c>
      <c r="K68" s="111">
        <f t="shared" ca="1" si="7"/>
        <v>2.9</v>
      </c>
      <c r="L68" s="111">
        <f t="shared" ca="1" si="7"/>
        <v>2.9</v>
      </c>
      <c r="M68" s="111">
        <f t="shared" ca="1" si="7"/>
        <v>2.9</v>
      </c>
      <c r="N68" s="111">
        <f t="shared" ca="1" si="7"/>
        <v>2.9</v>
      </c>
      <c r="O68" s="111">
        <f t="shared" ca="1" si="7"/>
        <v>2.9</v>
      </c>
      <c r="P68" s="111">
        <f t="shared" ca="1" si="7"/>
        <v>2.9</v>
      </c>
      <c r="Q68" s="111">
        <f t="shared" ca="1" si="7"/>
        <v>2.9</v>
      </c>
    </row>
    <row r="69" spans="1:17" ht="16.5" x14ac:dyDescent="0.3">
      <c r="A69" s="3" t="str">
        <f>INDEX(Mapping!$Y:$Y,MATCH(B69,Mapping!$W:$W,0))</f>
        <v>Rural</v>
      </c>
      <c r="B69" t="s">
        <v>148</v>
      </c>
      <c r="C69" s="111">
        <f ca="1">SUMIFS(OFFSET(CONSOLIDATED!$H$6:$H$84,0,MATCH(C$62,CONSOLIDATED!$H$2:$V$2,0)-1),CONSOLIDATED!$A$6:$A$84,$B69)</f>
        <v>5.75</v>
      </c>
      <c r="D69" s="111">
        <f t="shared" ref="D69:Q69" ca="1" si="8">IF($A69="Rural",$C69,C69*(1+D$149))</f>
        <v>5.75</v>
      </c>
      <c r="E69" s="111">
        <f t="shared" ca="1" si="8"/>
        <v>5.75</v>
      </c>
      <c r="F69" s="111">
        <f t="shared" ca="1" si="8"/>
        <v>5.75</v>
      </c>
      <c r="G69" s="111">
        <f t="shared" ca="1" si="8"/>
        <v>5.75</v>
      </c>
      <c r="H69" s="111">
        <f t="shared" ca="1" si="8"/>
        <v>5.75</v>
      </c>
      <c r="I69" s="111">
        <f t="shared" ca="1" si="8"/>
        <v>5.75</v>
      </c>
      <c r="J69" s="111">
        <f t="shared" ca="1" si="8"/>
        <v>5.75</v>
      </c>
      <c r="K69" s="111">
        <f t="shared" ca="1" si="8"/>
        <v>5.75</v>
      </c>
      <c r="L69" s="111">
        <f t="shared" ca="1" si="8"/>
        <v>5.75</v>
      </c>
      <c r="M69" s="111">
        <f t="shared" ca="1" si="8"/>
        <v>5.75</v>
      </c>
      <c r="N69" s="111">
        <f t="shared" ca="1" si="8"/>
        <v>5.75</v>
      </c>
      <c r="O69" s="111">
        <f t="shared" ca="1" si="8"/>
        <v>5.75</v>
      </c>
      <c r="P69" s="111">
        <f t="shared" ca="1" si="8"/>
        <v>5.75</v>
      </c>
      <c r="Q69" s="111">
        <f t="shared" ca="1" si="8"/>
        <v>5.75</v>
      </c>
    </row>
    <row r="70" spans="1:17" ht="16.5" x14ac:dyDescent="0.3">
      <c r="A70" s="3" t="str">
        <f>INDEX(Mapping!$Y:$Y,MATCH(B70,Mapping!$W:$W,0))</f>
        <v>Metro</v>
      </c>
      <c r="B70" t="s">
        <v>149</v>
      </c>
      <c r="C70" s="111">
        <f ca="1">SUMIFS(OFFSET(CONSOLIDATED!$H$6:$H$84,0,MATCH(C$62,CONSOLIDATED!$H$2:$V$2,0)-1),CONSOLIDATED!$A$6:$A$84,$B70)</f>
        <v>9.6</v>
      </c>
      <c r="D70" s="111">
        <f t="shared" ref="D70:Q70" ca="1" si="9">IF($A70="Rural",$C70,C70*(1+D$149))</f>
        <v>9.7180130354667931</v>
      </c>
      <c r="E70" s="111">
        <f t="shared" ca="1" si="9"/>
        <v>9.83602607093359</v>
      </c>
      <c r="F70" s="111">
        <f t="shared" ca="1" si="9"/>
        <v>9.9540391064003817</v>
      </c>
      <c r="G70" s="111">
        <f t="shared" ca="1" si="9"/>
        <v>10.072052141867182</v>
      </c>
      <c r="H70" s="111">
        <f t="shared" ca="1" si="9"/>
        <v>10.313947865363993</v>
      </c>
      <c r="I70" s="111">
        <f t="shared" ca="1" si="9"/>
        <v>10.555843588860805</v>
      </c>
      <c r="J70" s="111">
        <f t="shared" ca="1" si="9"/>
        <v>10.792179683287159</v>
      </c>
      <c r="K70" s="111">
        <f t="shared" ca="1" si="9"/>
        <v>11.022956148643051</v>
      </c>
      <c r="L70" s="111">
        <f t="shared" ca="1" si="9"/>
        <v>11.248172984928479</v>
      </c>
      <c r="M70" s="111">
        <f t="shared" ca="1" si="9"/>
        <v>11.47319695119168</v>
      </c>
      <c r="N70" s="111">
        <f t="shared" ca="1" si="9"/>
        <v>11.692661288384416</v>
      </c>
      <c r="O70" s="111">
        <f t="shared" ca="1" si="9"/>
        <v>11.906565996506696</v>
      </c>
      <c r="P70" s="111">
        <f t="shared" ca="1" si="9"/>
        <v>12.114911075558513</v>
      </c>
      <c r="Q70" s="111">
        <f t="shared" ca="1" si="9"/>
        <v>12.317696525539873</v>
      </c>
    </row>
    <row r="71" spans="1:17" ht="16.5" x14ac:dyDescent="0.3">
      <c r="A71" s="3" t="str">
        <f>INDEX(Mapping!$Y:$Y,MATCH(B71,Mapping!$W:$W,0))</f>
        <v>Rural</v>
      </c>
      <c r="B71" t="s">
        <v>112</v>
      </c>
      <c r="C71" s="111">
        <f ca="1">SUMIFS(OFFSET(CONSOLIDATED!$H$6:$H$84,0,MATCH(C$62,CONSOLIDATED!$H$2:$V$2,0)-1),CONSOLIDATED!$A$6:$A$84,$B71)</f>
        <v>2</v>
      </c>
      <c r="D71" s="111">
        <f t="shared" ref="D71:Q71" ca="1" si="10">IF($A71="Rural",$C71,C71*(1+D$149))</f>
        <v>2</v>
      </c>
      <c r="E71" s="111">
        <f t="shared" ca="1" si="10"/>
        <v>2</v>
      </c>
      <c r="F71" s="111">
        <f t="shared" ca="1" si="10"/>
        <v>2</v>
      </c>
      <c r="G71" s="111">
        <f t="shared" ca="1" si="10"/>
        <v>2</v>
      </c>
      <c r="H71" s="111">
        <f t="shared" ca="1" si="10"/>
        <v>2</v>
      </c>
      <c r="I71" s="111">
        <f t="shared" ca="1" si="10"/>
        <v>2</v>
      </c>
      <c r="J71" s="111">
        <f t="shared" ca="1" si="10"/>
        <v>2</v>
      </c>
      <c r="K71" s="111">
        <f t="shared" ca="1" si="10"/>
        <v>2</v>
      </c>
      <c r="L71" s="111">
        <f t="shared" ca="1" si="10"/>
        <v>2</v>
      </c>
      <c r="M71" s="111">
        <f t="shared" ca="1" si="10"/>
        <v>2</v>
      </c>
      <c r="N71" s="111">
        <f t="shared" ca="1" si="10"/>
        <v>2</v>
      </c>
      <c r="O71" s="111">
        <f t="shared" ca="1" si="10"/>
        <v>2</v>
      </c>
      <c r="P71" s="111">
        <f t="shared" ca="1" si="10"/>
        <v>2</v>
      </c>
      <c r="Q71" s="111">
        <f t="shared" ca="1" si="10"/>
        <v>2</v>
      </c>
    </row>
    <row r="72" spans="1:17" ht="16.5" x14ac:dyDescent="0.3">
      <c r="A72" s="3" t="str">
        <f>INDEX(Mapping!$Y:$Y,MATCH(B72,Mapping!$W:$W,0))</f>
        <v>Metro</v>
      </c>
      <c r="B72" t="s">
        <v>113</v>
      </c>
      <c r="C72" s="111">
        <f ca="1">SUMIFS(OFFSET(CONSOLIDATED!$H$6:$H$84,0,MATCH(C$62,CONSOLIDATED!$H$2:$V$2,0)-1),CONSOLIDATED!$A$6:$A$84,$B72)</f>
        <v>11.6</v>
      </c>
      <c r="D72" s="111">
        <f t="shared" ref="D72:Q72" ca="1" si="11">IF($A72="Rural",$C72,C72*(1+D$149))</f>
        <v>11.742599084522375</v>
      </c>
      <c r="E72" s="111">
        <f t="shared" ca="1" si="11"/>
        <v>11.885198169044754</v>
      </c>
      <c r="F72" s="111">
        <f t="shared" ca="1" si="11"/>
        <v>12.027797253567128</v>
      </c>
      <c r="G72" s="111">
        <f t="shared" ca="1" si="11"/>
        <v>12.170396338089512</v>
      </c>
      <c r="H72" s="111">
        <f t="shared" ca="1" si="11"/>
        <v>12.462687003981491</v>
      </c>
      <c r="I72" s="111">
        <f t="shared" ca="1" si="11"/>
        <v>12.754977669873472</v>
      </c>
      <c r="J72" s="111">
        <f t="shared" ca="1" si="11"/>
        <v>13.040550450638651</v>
      </c>
      <c r="K72" s="111">
        <f t="shared" ca="1" si="11"/>
        <v>13.319405346277019</v>
      </c>
      <c r="L72" s="111">
        <f t="shared" ca="1" si="11"/>
        <v>13.591542356788578</v>
      </c>
      <c r="M72" s="111">
        <f t="shared" ca="1" si="11"/>
        <v>13.863446316023278</v>
      </c>
      <c r="N72" s="111">
        <f t="shared" ca="1" si="11"/>
        <v>14.128632390131168</v>
      </c>
      <c r="O72" s="111">
        <f t="shared" ca="1" si="11"/>
        <v>14.387100579112257</v>
      </c>
      <c r="P72" s="111">
        <f t="shared" ca="1" si="11"/>
        <v>14.638850882966537</v>
      </c>
      <c r="Q72" s="111">
        <f t="shared" ca="1" si="11"/>
        <v>14.883883301694013</v>
      </c>
    </row>
    <row r="73" spans="1:17" ht="16.5" x14ac:dyDescent="0.3">
      <c r="A73" s="3" t="str">
        <f>INDEX(Mapping!$Y:$Y,MATCH(B73,Mapping!$W:$W,0))</f>
        <v>Metro</v>
      </c>
      <c r="B73" t="s">
        <v>165</v>
      </c>
      <c r="C73" s="111">
        <f ca="1">SUMIFS(OFFSET(CONSOLIDATED!$H$6:$H$84,0,MATCH(C$62,CONSOLIDATED!$H$2:$V$2,0)-1),CONSOLIDATED!$A$6:$A$84,$B73)</f>
        <v>22.639999999999997</v>
      </c>
      <c r="D73" s="111">
        <f t="shared" ref="D73:Q73" ca="1" si="12">IF($A73="Rural",$C73,C73*(1+D$149))</f>
        <v>22.918314075309187</v>
      </c>
      <c r="E73" s="111">
        <f t="shared" ca="1" si="12"/>
        <v>23.19662815061838</v>
      </c>
      <c r="F73" s="111">
        <f t="shared" ca="1" si="12"/>
        <v>23.474942225927563</v>
      </c>
      <c r="G73" s="111">
        <f t="shared" ca="1" si="12"/>
        <v>23.753256301236771</v>
      </c>
      <c r="H73" s="111">
        <f t="shared" ca="1" si="12"/>
        <v>24.323727049150083</v>
      </c>
      <c r="I73" s="111">
        <f t="shared" ca="1" si="12"/>
        <v>24.894197797063399</v>
      </c>
      <c r="J73" s="111">
        <f t="shared" ca="1" si="12"/>
        <v>25.451557086418887</v>
      </c>
      <c r="K73" s="111">
        <f t="shared" ca="1" si="12"/>
        <v>25.995804917216528</v>
      </c>
      <c r="L73" s="111">
        <f t="shared" ca="1" si="12"/>
        <v>26.526941289456328</v>
      </c>
      <c r="M73" s="111">
        <f t="shared" ca="1" si="12"/>
        <v>27.057622809893711</v>
      </c>
      <c r="N73" s="111">
        <f t="shared" ca="1" si="12"/>
        <v>27.575192871773247</v>
      </c>
      <c r="O73" s="111">
        <f t="shared" ca="1" si="12"/>
        <v>28.079651475094959</v>
      </c>
      <c r="P73" s="111">
        <f t="shared" ca="1" si="12"/>
        <v>28.570998619858827</v>
      </c>
      <c r="Q73" s="111">
        <f t="shared" ca="1" si="12"/>
        <v>29.049234306064864</v>
      </c>
    </row>
    <row r="74" spans="1:17" ht="16.5" x14ac:dyDescent="0.3">
      <c r="A74" s="3" t="str">
        <f>INDEX(Mapping!$Y:$Y,MATCH(B74,Mapping!$W:$W,0))</f>
        <v>Rural</v>
      </c>
      <c r="B74" t="s">
        <v>131</v>
      </c>
      <c r="C74" s="111">
        <f ca="1">SUMIFS(OFFSET(CONSOLIDATED!$H$6:$H$84,0,MATCH(C$62,CONSOLIDATED!$H$2:$V$2,0)-1),CONSOLIDATED!$A$6:$A$84,$B74)</f>
        <v>2</v>
      </c>
      <c r="D74" s="111">
        <f t="shared" ref="D74:Q74" ca="1" si="13">IF($A74="Rural",$C74,C74*(1+D$149))</f>
        <v>2</v>
      </c>
      <c r="E74" s="111">
        <f t="shared" ca="1" si="13"/>
        <v>2</v>
      </c>
      <c r="F74" s="111">
        <f t="shared" ca="1" si="13"/>
        <v>2</v>
      </c>
      <c r="G74" s="111">
        <f t="shared" ca="1" si="13"/>
        <v>2</v>
      </c>
      <c r="H74" s="111">
        <f t="shared" ca="1" si="13"/>
        <v>2</v>
      </c>
      <c r="I74" s="111">
        <f t="shared" ca="1" si="13"/>
        <v>2</v>
      </c>
      <c r="J74" s="111">
        <f t="shared" ca="1" si="13"/>
        <v>2</v>
      </c>
      <c r="K74" s="111">
        <f t="shared" ca="1" si="13"/>
        <v>2</v>
      </c>
      <c r="L74" s="111">
        <f t="shared" ca="1" si="13"/>
        <v>2</v>
      </c>
      <c r="M74" s="111">
        <f t="shared" ca="1" si="13"/>
        <v>2</v>
      </c>
      <c r="N74" s="111">
        <f t="shared" ca="1" si="13"/>
        <v>2</v>
      </c>
      <c r="O74" s="111">
        <f t="shared" ca="1" si="13"/>
        <v>2</v>
      </c>
      <c r="P74" s="111">
        <f t="shared" ca="1" si="13"/>
        <v>2</v>
      </c>
      <c r="Q74" s="111">
        <f t="shared" ca="1" si="13"/>
        <v>2</v>
      </c>
    </row>
    <row r="75" spans="1:17" ht="16.5" x14ac:dyDescent="0.3">
      <c r="A75" s="3" t="str">
        <f>INDEX(Mapping!$Y:$Y,MATCH(B75,Mapping!$W:$W,0))</f>
        <v>Rural</v>
      </c>
      <c r="B75" t="s">
        <v>132</v>
      </c>
      <c r="C75" s="111">
        <f ca="1">SUMIFS(OFFSET(CONSOLIDATED!$H$6:$H$84,0,MATCH(C$62,CONSOLIDATED!$H$2:$V$2,0)-1),CONSOLIDATED!$A$6:$A$84,$B75)</f>
        <v>4.2300000000000004</v>
      </c>
      <c r="D75" s="111">
        <f t="shared" ref="D75:Q75" ca="1" si="14">IF($A75="Rural",$C75,C75*(1+D$149))</f>
        <v>4.2300000000000004</v>
      </c>
      <c r="E75" s="111">
        <f t="shared" ca="1" si="14"/>
        <v>4.2300000000000004</v>
      </c>
      <c r="F75" s="111">
        <f t="shared" ca="1" si="14"/>
        <v>4.2300000000000004</v>
      </c>
      <c r="G75" s="111">
        <f t="shared" ca="1" si="14"/>
        <v>4.2300000000000004</v>
      </c>
      <c r="H75" s="111">
        <f t="shared" ca="1" si="14"/>
        <v>4.2300000000000004</v>
      </c>
      <c r="I75" s="111">
        <f t="shared" ca="1" si="14"/>
        <v>4.2300000000000004</v>
      </c>
      <c r="J75" s="111">
        <f t="shared" ca="1" si="14"/>
        <v>4.2300000000000004</v>
      </c>
      <c r="K75" s="111">
        <f t="shared" ca="1" si="14"/>
        <v>4.2300000000000004</v>
      </c>
      <c r="L75" s="111">
        <f t="shared" ca="1" si="14"/>
        <v>4.2300000000000004</v>
      </c>
      <c r="M75" s="111">
        <f t="shared" ca="1" si="14"/>
        <v>4.2300000000000004</v>
      </c>
      <c r="N75" s="111">
        <f t="shared" ca="1" si="14"/>
        <v>4.2300000000000004</v>
      </c>
      <c r="O75" s="111">
        <f t="shared" ca="1" si="14"/>
        <v>4.2300000000000004</v>
      </c>
      <c r="P75" s="111">
        <f t="shared" ca="1" si="14"/>
        <v>4.2300000000000004</v>
      </c>
      <c r="Q75" s="111">
        <f t="shared" ca="1" si="14"/>
        <v>4.2300000000000004</v>
      </c>
    </row>
    <row r="76" spans="1:17" ht="16.5" x14ac:dyDescent="0.3">
      <c r="A76" s="3" t="str">
        <f>INDEX(Mapping!$Y:$Y,MATCH(B76,Mapping!$W:$W,0))</f>
        <v>Interface</v>
      </c>
      <c r="B76" t="s">
        <v>150</v>
      </c>
      <c r="C76" s="111">
        <f ca="1">SUMIFS(OFFSET(CONSOLIDATED!$H$6:$H$84,0,MATCH(C$62,CONSOLIDATED!$H$2:$V$2,0)-1),CONSOLIDATED!$A$6:$A$84,$B76)</f>
        <v>11.7</v>
      </c>
      <c r="D76" s="111">
        <f t="shared" ref="D76:Q76" ca="1" si="15">IF($A76="Rural",$C76,C76*(1+D$149))</f>
        <v>11.843828386975154</v>
      </c>
      <c r="E76" s="111">
        <f t="shared" ca="1" si="15"/>
        <v>11.987656773950313</v>
      </c>
      <c r="F76" s="111">
        <f t="shared" ca="1" si="15"/>
        <v>12.131485160925465</v>
      </c>
      <c r="G76" s="111">
        <f t="shared" ca="1" si="15"/>
        <v>12.275313547900629</v>
      </c>
      <c r="H76" s="111">
        <f t="shared" ca="1" si="15"/>
        <v>12.570123960912365</v>
      </c>
      <c r="I76" s="111">
        <f t="shared" ca="1" si="15"/>
        <v>12.864934373924106</v>
      </c>
      <c r="J76" s="111">
        <f t="shared" ca="1" si="15"/>
        <v>13.152968989006226</v>
      </c>
      <c r="K76" s="111">
        <f t="shared" ca="1" si="15"/>
        <v>13.434227806158717</v>
      </c>
      <c r="L76" s="111">
        <f t="shared" ca="1" si="15"/>
        <v>13.708710825381582</v>
      </c>
      <c r="M76" s="111">
        <f t="shared" ca="1" si="15"/>
        <v>13.982958784264857</v>
      </c>
      <c r="N76" s="111">
        <f t="shared" ca="1" si="15"/>
        <v>14.250430945218506</v>
      </c>
      <c r="O76" s="111">
        <f t="shared" ca="1" si="15"/>
        <v>14.511127308242534</v>
      </c>
      <c r="P76" s="111">
        <f t="shared" ca="1" si="15"/>
        <v>14.765047873336936</v>
      </c>
      <c r="Q76" s="111">
        <f t="shared" ca="1" si="15"/>
        <v>15.012192640501718</v>
      </c>
    </row>
    <row r="77" spans="1:17" ht="16.5" x14ac:dyDescent="0.3">
      <c r="A77" s="3" t="str">
        <f>INDEX(Mapping!$Y:$Y,MATCH(B77,Mapping!$W:$W,0))</f>
        <v>Interface</v>
      </c>
      <c r="B77" t="s">
        <v>151</v>
      </c>
      <c r="C77" s="111">
        <f ca="1">SUMIFS(OFFSET(CONSOLIDATED!$H$6:$H$84,0,MATCH(C$62,CONSOLIDATED!$H$2:$V$2,0)-1),CONSOLIDATED!$A$6:$A$84,$B77)</f>
        <v>35.33</v>
      </c>
      <c r="D77" s="111">
        <f t="shared" ref="D77:Q77" ca="1" si="16">IF($A77="Rural",$C77,C77*(1+D$149))</f>
        <v>35.764312556566857</v>
      </c>
      <c r="E77" s="111">
        <f t="shared" ca="1" si="16"/>
        <v>36.198625113133723</v>
      </c>
      <c r="F77" s="111">
        <f t="shared" ca="1" si="16"/>
        <v>36.632937669700574</v>
      </c>
      <c r="G77" s="111">
        <f t="shared" ca="1" si="16"/>
        <v>37.067250226267461</v>
      </c>
      <c r="H77" s="111">
        <f t="shared" ca="1" si="16"/>
        <v>37.957476883678119</v>
      </c>
      <c r="I77" s="111">
        <f t="shared" ca="1" si="16"/>
        <v>38.847703541088784</v>
      </c>
      <c r="J77" s="111">
        <f t="shared" ca="1" si="16"/>
        <v>39.717469605264107</v>
      </c>
      <c r="K77" s="111">
        <f t="shared" ca="1" si="16"/>
        <v>40.566775076204067</v>
      </c>
      <c r="L77" s="111">
        <f t="shared" ca="1" si="16"/>
        <v>41.395619953908671</v>
      </c>
      <c r="M77" s="111">
        <f t="shared" ca="1" si="16"/>
        <v>42.223755029750222</v>
      </c>
      <c r="N77" s="111">
        <f t="shared" ca="1" si="16"/>
        <v>43.031429512356411</v>
      </c>
      <c r="O77" s="111">
        <f t="shared" ca="1" si="16"/>
        <v>43.818643401727257</v>
      </c>
      <c r="P77" s="111">
        <f t="shared" ca="1" si="16"/>
        <v>44.585396697862748</v>
      </c>
      <c r="Q77" s="111">
        <f t="shared" ca="1" si="16"/>
        <v>45.331689400762897</v>
      </c>
    </row>
    <row r="78" spans="1:17" ht="16.5" x14ac:dyDescent="0.3">
      <c r="A78" s="3" t="str">
        <f>INDEX(Mapping!$Y:$Y,MATCH(B78,Mapping!$W:$W,0))</f>
        <v>Rural</v>
      </c>
      <c r="B78" t="s">
        <v>133</v>
      </c>
      <c r="C78" s="111">
        <f ca="1">SUMIFS(OFFSET(CONSOLIDATED!$H$6:$H$84,0,MATCH(C$62,CONSOLIDATED!$H$2:$V$2,0)-1),CONSOLIDATED!$A$6:$A$84,$B78)</f>
        <v>1.2</v>
      </c>
      <c r="D78" s="111">
        <f t="shared" ref="D78:Q78" ca="1" si="17">IF($A78="Rural",$C78,C78*(1+D$149))</f>
        <v>1.2</v>
      </c>
      <c r="E78" s="111">
        <f t="shared" ca="1" si="17"/>
        <v>1.2</v>
      </c>
      <c r="F78" s="111">
        <f t="shared" ca="1" si="17"/>
        <v>1.2</v>
      </c>
      <c r="G78" s="111">
        <f t="shared" ca="1" si="17"/>
        <v>1.2</v>
      </c>
      <c r="H78" s="111">
        <f t="shared" ca="1" si="17"/>
        <v>1.2</v>
      </c>
      <c r="I78" s="111">
        <f t="shared" ca="1" si="17"/>
        <v>1.2</v>
      </c>
      <c r="J78" s="111">
        <f t="shared" ca="1" si="17"/>
        <v>1.2</v>
      </c>
      <c r="K78" s="111">
        <f t="shared" ca="1" si="17"/>
        <v>1.2</v>
      </c>
      <c r="L78" s="111">
        <f t="shared" ca="1" si="17"/>
        <v>1.2</v>
      </c>
      <c r="M78" s="111">
        <f t="shared" ca="1" si="17"/>
        <v>1.2</v>
      </c>
      <c r="N78" s="111">
        <f t="shared" ca="1" si="17"/>
        <v>1.2</v>
      </c>
      <c r="O78" s="111">
        <f t="shared" ca="1" si="17"/>
        <v>1.2</v>
      </c>
      <c r="P78" s="111">
        <f t="shared" ca="1" si="17"/>
        <v>1.2</v>
      </c>
      <c r="Q78" s="111">
        <f t="shared" ca="1" si="17"/>
        <v>1.2</v>
      </c>
    </row>
    <row r="79" spans="1:17" ht="16.5" x14ac:dyDescent="0.3">
      <c r="A79" s="3" t="str">
        <f>INDEX(Mapping!$Y:$Y,MATCH(B79,Mapping!$W:$W,0))</f>
        <v>Rural</v>
      </c>
      <c r="B79" t="s">
        <v>166</v>
      </c>
      <c r="C79" s="111">
        <f ca="1">SUMIFS(OFFSET(CONSOLIDATED!$H$6:$H$84,0,MATCH(C$62,CONSOLIDATED!$H$2:$V$2,0)-1),CONSOLIDATED!$A$6:$A$84,$B79)</f>
        <v>1.5</v>
      </c>
      <c r="D79" s="111">
        <f t="shared" ref="D79:Q79" ca="1" si="18">IF($A79="Rural",$C79,C79*(1+D$149))</f>
        <v>1.5</v>
      </c>
      <c r="E79" s="111">
        <f t="shared" ca="1" si="18"/>
        <v>1.5</v>
      </c>
      <c r="F79" s="111">
        <f t="shared" ca="1" si="18"/>
        <v>1.5</v>
      </c>
      <c r="G79" s="111">
        <f t="shared" ca="1" si="18"/>
        <v>1.5</v>
      </c>
      <c r="H79" s="111">
        <f t="shared" ca="1" si="18"/>
        <v>1.5</v>
      </c>
      <c r="I79" s="111">
        <f t="shared" ca="1" si="18"/>
        <v>1.5</v>
      </c>
      <c r="J79" s="111">
        <f t="shared" ca="1" si="18"/>
        <v>1.5</v>
      </c>
      <c r="K79" s="111">
        <f t="shared" ca="1" si="18"/>
        <v>1.5</v>
      </c>
      <c r="L79" s="111">
        <f t="shared" ca="1" si="18"/>
        <v>1.5</v>
      </c>
      <c r="M79" s="111">
        <f t="shared" ca="1" si="18"/>
        <v>1.5</v>
      </c>
      <c r="N79" s="111">
        <f t="shared" ca="1" si="18"/>
        <v>1.5</v>
      </c>
      <c r="O79" s="111">
        <f t="shared" ca="1" si="18"/>
        <v>1.5</v>
      </c>
      <c r="P79" s="111">
        <f t="shared" ca="1" si="18"/>
        <v>1.5</v>
      </c>
      <c r="Q79" s="111">
        <f t="shared" ca="1" si="18"/>
        <v>1.5</v>
      </c>
    </row>
    <row r="80" spans="1:17" ht="16.5" x14ac:dyDescent="0.3">
      <c r="A80" s="3" t="str">
        <f>INDEX(Mapping!$Y:$Y,MATCH(B80,Mapping!$W:$W,0))</f>
        <v>Rural</v>
      </c>
      <c r="B80" t="s">
        <v>167</v>
      </c>
      <c r="C80" s="111">
        <f ca="1">SUMIFS(OFFSET(CONSOLIDATED!$H$6:$H$84,0,MATCH(C$62,CONSOLIDATED!$H$2:$V$2,0)-1),CONSOLIDATED!$A$6:$A$84,$B80)</f>
        <v>1.61</v>
      </c>
      <c r="D80" s="111">
        <f t="shared" ref="D80:Q80" ca="1" si="19">IF($A80="Rural",$C80,C80*(1+D$149))</f>
        <v>1.61</v>
      </c>
      <c r="E80" s="111">
        <f t="shared" ca="1" si="19"/>
        <v>1.61</v>
      </c>
      <c r="F80" s="111">
        <f t="shared" ca="1" si="19"/>
        <v>1.61</v>
      </c>
      <c r="G80" s="111">
        <f t="shared" ca="1" si="19"/>
        <v>1.61</v>
      </c>
      <c r="H80" s="111">
        <f t="shared" ca="1" si="19"/>
        <v>1.61</v>
      </c>
      <c r="I80" s="111">
        <f t="shared" ca="1" si="19"/>
        <v>1.61</v>
      </c>
      <c r="J80" s="111">
        <f t="shared" ca="1" si="19"/>
        <v>1.61</v>
      </c>
      <c r="K80" s="111">
        <f t="shared" ca="1" si="19"/>
        <v>1.61</v>
      </c>
      <c r="L80" s="111">
        <f t="shared" ca="1" si="19"/>
        <v>1.61</v>
      </c>
      <c r="M80" s="111">
        <f t="shared" ca="1" si="19"/>
        <v>1.61</v>
      </c>
      <c r="N80" s="111">
        <f t="shared" ca="1" si="19"/>
        <v>1.61</v>
      </c>
      <c r="O80" s="111">
        <f t="shared" ca="1" si="19"/>
        <v>1.61</v>
      </c>
      <c r="P80" s="111">
        <f t="shared" ca="1" si="19"/>
        <v>1.61</v>
      </c>
      <c r="Q80" s="111">
        <f t="shared" ca="1" si="19"/>
        <v>1.61</v>
      </c>
    </row>
    <row r="81" spans="1:17" ht="16.5" x14ac:dyDescent="0.3">
      <c r="A81" s="3" t="str">
        <f>INDEX(Mapping!$Y:$Y,MATCH(B81,Mapping!$W:$W,0))</f>
        <v>Metro</v>
      </c>
      <c r="B81" t="s">
        <v>134</v>
      </c>
      <c r="C81" s="111">
        <f ca="1">SUMIFS(OFFSET(CONSOLIDATED!$H$6:$H$84,0,MATCH(C$62,CONSOLIDATED!$H$2:$V$2,0)-1),CONSOLIDATED!$A$6:$A$84,$B81)</f>
        <v>15.1</v>
      </c>
      <c r="D81" s="111">
        <f t="shared" ref="D81:Q81" ca="1" si="20">IF($A81="Rural",$C81,C81*(1+D$149))</f>
        <v>15.285624670369645</v>
      </c>
      <c r="E81" s="111">
        <f t="shared" ca="1" si="20"/>
        <v>15.471249340739293</v>
      </c>
      <c r="F81" s="111">
        <f t="shared" ca="1" si="20"/>
        <v>15.656874011108934</v>
      </c>
      <c r="G81" s="111">
        <f t="shared" ca="1" si="20"/>
        <v>15.84249868147859</v>
      </c>
      <c r="H81" s="111">
        <f t="shared" ca="1" si="20"/>
        <v>16.222980496562116</v>
      </c>
      <c r="I81" s="111">
        <f t="shared" ca="1" si="20"/>
        <v>16.603462311645643</v>
      </c>
      <c r="J81" s="111">
        <f t="shared" ca="1" si="20"/>
        <v>16.975199293503763</v>
      </c>
      <c r="K81" s="111">
        <f t="shared" ca="1" si="20"/>
        <v>17.338191442136466</v>
      </c>
      <c r="L81" s="111">
        <f t="shared" ca="1" si="20"/>
        <v>17.692438757543755</v>
      </c>
      <c r="M81" s="111">
        <f t="shared" ca="1" si="20"/>
        <v>18.046382704478582</v>
      </c>
      <c r="N81" s="111">
        <f t="shared" ca="1" si="20"/>
        <v>18.391581818187991</v>
      </c>
      <c r="O81" s="111">
        <f t="shared" ca="1" si="20"/>
        <v>18.728036098671993</v>
      </c>
      <c r="P81" s="111">
        <f t="shared" ca="1" si="20"/>
        <v>19.055745545930581</v>
      </c>
      <c r="Q81" s="111">
        <f t="shared" ca="1" si="20"/>
        <v>19.374710159963762</v>
      </c>
    </row>
    <row r="82" spans="1:17" ht="16.5" x14ac:dyDescent="0.3">
      <c r="A82" s="3" t="str">
        <f>INDEX(Mapping!$Y:$Y,MATCH(B82,Mapping!$W:$W,0))</f>
        <v>Rural</v>
      </c>
      <c r="B82" t="s">
        <v>152</v>
      </c>
      <c r="C82" s="111">
        <f ca="1">SUMIFS(OFFSET(CONSOLIDATED!$H$6:$H$84,0,MATCH(C$62,CONSOLIDATED!$H$2:$V$2,0)-1),CONSOLIDATED!$A$6:$A$84,$B82)</f>
        <v>6.2</v>
      </c>
      <c r="D82" s="111">
        <f t="shared" ref="D82:Q82" ca="1" si="21">IF($A82="Rural",$C82,C82*(1+D$149))</f>
        <v>6.2</v>
      </c>
      <c r="E82" s="111">
        <f t="shared" ca="1" si="21"/>
        <v>6.2</v>
      </c>
      <c r="F82" s="111">
        <f t="shared" ca="1" si="21"/>
        <v>6.2</v>
      </c>
      <c r="G82" s="111">
        <f t="shared" ca="1" si="21"/>
        <v>6.2</v>
      </c>
      <c r="H82" s="111">
        <f t="shared" ca="1" si="21"/>
        <v>6.2</v>
      </c>
      <c r="I82" s="111">
        <f t="shared" ca="1" si="21"/>
        <v>6.2</v>
      </c>
      <c r="J82" s="111">
        <f t="shared" ca="1" si="21"/>
        <v>6.2</v>
      </c>
      <c r="K82" s="111">
        <f t="shared" ca="1" si="21"/>
        <v>6.2</v>
      </c>
      <c r="L82" s="111">
        <f t="shared" ca="1" si="21"/>
        <v>6.2</v>
      </c>
      <c r="M82" s="111">
        <f t="shared" ca="1" si="21"/>
        <v>6.2</v>
      </c>
      <c r="N82" s="111">
        <f t="shared" ca="1" si="21"/>
        <v>6.2</v>
      </c>
      <c r="O82" s="111">
        <f t="shared" ca="1" si="21"/>
        <v>6.2</v>
      </c>
      <c r="P82" s="111">
        <f t="shared" ca="1" si="21"/>
        <v>6.2</v>
      </c>
      <c r="Q82" s="111">
        <f t="shared" ca="1" si="21"/>
        <v>6.2</v>
      </c>
    </row>
    <row r="83" spans="1:17" ht="16.5" x14ac:dyDescent="0.3">
      <c r="A83" s="3" t="str">
        <f>INDEX(Mapping!$Y:$Y,MATCH(B83,Mapping!$W:$W,0))</f>
        <v>Metro</v>
      </c>
      <c r="B83" t="s">
        <v>153</v>
      </c>
      <c r="C83" s="111">
        <f ca="1">SUMIFS(OFFSET(CONSOLIDATED!$H$6:$H$84,0,MATCH(C$62,CONSOLIDATED!$H$2:$V$2,0)-1),CONSOLIDATED!$A$6:$A$84,$B83)</f>
        <v>18.600000000000001</v>
      </c>
      <c r="D83" s="111">
        <f t="shared" ref="D83:Q83" ca="1" si="22">IF($A83="Rural",$C83,C83*(1+D$149))</f>
        <v>18.828650256216914</v>
      </c>
      <c r="E83" s="111">
        <f t="shared" ca="1" si="22"/>
        <v>19.05730051243383</v>
      </c>
      <c r="F83" s="111">
        <f t="shared" ca="1" si="22"/>
        <v>19.285950768650739</v>
      </c>
      <c r="G83" s="111">
        <f t="shared" ca="1" si="22"/>
        <v>19.514601024867666</v>
      </c>
      <c r="H83" s="111">
        <f t="shared" ca="1" si="22"/>
        <v>19.983273989142734</v>
      </c>
      <c r="I83" s="111">
        <f t="shared" ca="1" si="22"/>
        <v>20.45194695341781</v>
      </c>
      <c r="J83" s="111">
        <f t="shared" ca="1" si="22"/>
        <v>20.909848136368872</v>
      </c>
      <c r="K83" s="111">
        <f t="shared" ca="1" si="22"/>
        <v>21.35697753799591</v>
      </c>
      <c r="L83" s="111">
        <f t="shared" ca="1" si="22"/>
        <v>21.793335158298927</v>
      </c>
      <c r="M83" s="111">
        <f t="shared" ca="1" si="22"/>
        <v>22.229319092933878</v>
      </c>
      <c r="N83" s="111">
        <f t="shared" ca="1" si="22"/>
        <v>22.654531246244805</v>
      </c>
      <c r="O83" s="111">
        <f t="shared" ca="1" si="22"/>
        <v>23.068971618231721</v>
      </c>
      <c r="P83" s="111">
        <f t="shared" ca="1" si="22"/>
        <v>23.472640208894617</v>
      </c>
      <c r="Q83" s="111">
        <f t="shared" ca="1" si="22"/>
        <v>23.8655370182335</v>
      </c>
    </row>
    <row r="84" spans="1:17" ht="16.5" x14ac:dyDescent="0.3">
      <c r="A84" s="3" t="str">
        <f>INDEX(Mapping!$Y:$Y,MATCH(B84,Mapping!$W:$W,0))</f>
        <v>Rural</v>
      </c>
      <c r="B84" t="s">
        <v>135</v>
      </c>
      <c r="C84" s="111">
        <f ca="1">SUMIFS(OFFSET(CONSOLIDATED!$H$6:$H$84,0,MATCH(C$62,CONSOLIDATED!$H$2:$V$2,0)-1),CONSOLIDATED!$A$6:$A$84,$B84)</f>
        <v>1.6</v>
      </c>
      <c r="D84" s="111">
        <f t="shared" ref="D84:Q84" ca="1" si="23">IF($A84="Rural",$C84,C84*(1+D$149))</f>
        <v>1.6</v>
      </c>
      <c r="E84" s="111">
        <f t="shared" ca="1" si="23"/>
        <v>1.6</v>
      </c>
      <c r="F84" s="111">
        <f t="shared" ca="1" si="23"/>
        <v>1.6</v>
      </c>
      <c r="G84" s="111">
        <f t="shared" ca="1" si="23"/>
        <v>1.6</v>
      </c>
      <c r="H84" s="111">
        <f t="shared" ca="1" si="23"/>
        <v>1.6</v>
      </c>
      <c r="I84" s="111">
        <f t="shared" ca="1" si="23"/>
        <v>1.6</v>
      </c>
      <c r="J84" s="111">
        <f t="shared" ca="1" si="23"/>
        <v>1.6</v>
      </c>
      <c r="K84" s="111">
        <f t="shared" ca="1" si="23"/>
        <v>1.6</v>
      </c>
      <c r="L84" s="111">
        <f t="shared" ca="1" si="23"/>
        <v>1.6</v>
      </c>
      <c r="M84" s="111">
        <f t="shared" ca="1" si="23"/>
        <v>1.6</v>
      </c>
      <c r="N84" s="111">
        <f t="shared" ca="1" si="23"/>
        <v>1.6</v>
      </c>
      <c r="O84" s="111">
        <f t="shared" ca="1" si="23"/>
        <v>1.6</v>
      </c>
      <c r="P84" s="111">
        <f t="shared" ca="1" si="23"/>
        <v>1.6</v>
      </c>
      <c r="Q84" s="111">
        <f t="shared" ca="1" si="23"/>
        <v>1.6</v>
      </c>
    </row>
    <row r="85" spans="1:17" ht="16.5" x14ac:dyDescent="0.3">
      <c r="A85" s="3" t="str">
        <f>INDEX(Mapping!$Y:$Y,MATCH(B85,Mapping!$W:$W,0))</f>
        <v>Metro</v>
      </c>
      <c r="B85" t="s">
        <v>154</v>
      </c>
      <c r="C85" s="111">
        <f ca="1">SUMIFS(OFFSET(CONSOLIDATED!$H$6:$H$84,0,MATCH(C$62,CONSOLIDATED!$H$2:$V$2,0)-1),CONSOLIDATED!$A$6:$A$84,$B85)</f>
        <v>16</v>
      </c>
      <c r="D85" s="111">
        <f t="shared" ref="D85:Q85" ca="1" si="24">IF($A85="Rural",$C85,C85*(1+D$149))</f>
        <v>16.196688392444656</v>
      </c>
      <c r="E85" s="111">
        <f t="shared" ca="1" si="24"/>
        <v>16.393376784889316</v>
      </c>
      <c r="F85" s="111">
        <f t="shared" ca="1" si="24"/>
        <v>16.590065177333969</v>
      </c>
      <c r="G85" s="111">
        <f t="shared" ca="1" si="24"/>
        <v>16.786753569778639</v>
      </c>
      <c r="H85" s="111">
        <f t="shared" ca="1" si="24"/>
        <v>17.18991310893999</v>
      </c>
      <c r="I85" s="111">
        <f t="shared" ca="1" si="24"/>
        <v>17.593072648101344</v>
      </c>
      <c r="J85" s="111">
        <f t="shared" ca="1" si="24"/>
        <v>17.986966138811937</v>
      </c>
      <c r="K85" s="111">
        <f t="shared" ca="1" si="24"/>
        <v>18.371593581071753</v>
      </c>
      <c r="L85" s="111">
        <f t="shared" ca="1" si="24"/>
        <v>18.746954974880801</v>
      </c>
      <c r="M85" s="111">
        <f t="shared" ca="1" si="24"/>
        <v>19.121994918652803</v>
      </c>
      <c r="N85" s="111">
        <f t="shared" ca="1" si="24"/>
        <v>19.487768813974029</v>
      </c>
      <c r="O85" s="111">
        <f t="shared" ca="1" si="24"/>
        <v>19.844276660844496</v>
      </c>
      <c r="P85" s="111">
        <f t="shared" ca="1" si="24"/>
        <v>20.191518459264191</v>
      </c>
      <c r="Q85" s="111">
        <f t="shared" ca="1" si="24"/>
        <v>20.529494209233125</v>
      </c>
    </row>
    <row r="86" spans="1:17" ht="16.5" x14ac:dyDescent="0.3">
      <c r="A86" s="3" t="str">
        <f>INDEX(Mapping!$Y:$Y,MATCH(B86,Mapping!$W:$W,0))</f>
        <v>Rural</v>
      </c>
      <c r="B86" t="s">
        <v>168</v>
      </c>
      <c r="C86" s="111">
        <f ca="1">SUMIFS(OFFSET(CONSOLIDATED!$H$6:$H$84,0,MATCH(C$62,CONSOLIDATED!$H$2:$V$2,0)-1),CONSOLIDATED!$A$6:$A$84,$B86)</f>
        <v>1.6</v>
      </c>
      <c r="D86" s="111">
        <f t="shared" ref="D86:Q86" ca="1" si="25">IF($A86="Rural",$C86,C86*(1+D$149))</f>
        <v>1.6</v>
      </c>
      <c r="E86" s="111">
        <f t="shared" ca="1" si="25"/>
        <v>1.6</v>
      </c>
      <c r="F86" s="111">
        <f t="shared" ca="1" si="25"/>
        <v>1.6</v>
      </c>
      <c r="G86" s="111">
        <f t="shared" ca="1" si="25"/>
        <v>1.6</v>
      </c>
      <c r="H86" s="111">
        <f t="shared" ca="1" si="25"/>
        <v>1.6</v>
      </c>
      <c r="I86" s="111">
        <f t="shared" ca="1" si="25"/>
        <v>1.6</v>
      </c>
      <c r="J86" s="111">
        <f t="shared" ca="1" si="25"/>
        <v>1.6</v>
      </c>
      <c r="K86" s="111">
        <f t="shared" ca="1" si="25"/>
        <v>1.6</v>
      </c>
      <c r="L86" s="111">
        <f t="shared" ca="1" si="25"/>
        <v>1.6</v>
      </c>
      <c r="M86" s="111">
        <f t="shared" ca="1" si="25"/>
        <v>1.6</v>
      </c>
      <c r="N86" s="111">
        <f t="shared" ca="1" si="25"/>
        <v>1.6</v>
      </c>
      <c r="O86" s="111">
        <f t="shared" ca="1" si="25"/>
        <v>1.6</v>
      </c>
      <c r="P86" s="111">
        <f t="shared" ca="1" si="25"/>
        <v>1.6</v>
      </c>
      <c r="Q86" s="111">
        <f t="shared" ca="1" si="25"/>
        <v>1.6</v>
      </c>
    </row>
    <row r="87" spans="1:17" ht="16.5" x14ac:dyDescent="0.3">
      <c r="A87" s="3" t="str">
        <f>INDEX(Mapping!$Y:$Y,MATCH(B87,Mapping!$W:$W,0))</f>
        <v>Rural</v>
      </c>
      <c r="B87" t="s">
        <v>169</v>
      </c>
      <c r="C87" s="111">
        <f ca="1">SUMIFS(OFFSET(CONSOLIDATED!$H$6:$H$84,0,MATCH(C$62,CONSOLIDATED!$H$2:$V$2,0)-1),CONSOLIDATED!$A$6:$A$84,$B87)</f>
        <v>2</v>
      </c>
      <c r="D87" s="111">
        <f t="shared" ref="D87:Q87" ca="1" si="26">IF($A87="Rural",$C87,C87*(1+D$149))</f>
        <v>2</v>
      </c>
      <c r="E87" s="111">
        <f t="shared" ca="1" si="26"/>
        <v>2</v>
      </c>
      <c r="F87" s="111">
        <f t="shared" ca="1" si="26"/>
        <v>2</v>
      </c>
      <c r="G87" s="111">
        <f t="shared" ca="1" si="26"/>
        <v>2</v>
      </c>
      <c r="H87" s="111">
        <f t="shared" ca="1" si="26"/>
        <v>2</v>
      </c>
      <c r="I87" s="111">
        <f t="shared" ca="1" si="26"/>
        <v>2</v>
      </c>
      <c r="J87" s="111">
        <f t="shared" ca="1" si="26"/>
        <v>2</v>
      </c>
      <c r="K87" s="111">
        <f t="shared" ca="1" si="26"/>
        <v>2</v>
      </c>
      <c r="L87" s="111">
        <f t="shared" ca="1" si="26"/>
        <v>2</v>
      </c>
      <c r="M87" s="111">
        <f t="shared" ca="1" si="26"/>
        <v>2</v>
      </c>
      <c r="N87" s="111">
        <f t="shared" ca="1" si="26"/>
        <v>2</v>
      </c>
      <c r="O87" s="111">
        <f t="shared" ca="1" si="26"/>
        <v>2</v>
      </c>
      <c r="P87" s="111">
        <f t="shared" ca="1" si="26"/>
        <v>2</v>
      </c>
      <c r="Q87" s="111">
        <f t="shared" ca="1" si="26"/>
        <v>2</v>
      </c>
    </row>
    <row r="88" spans="1:17" ht="16.5" x14ac:dyDescent="0.3">
      <c r="A88" s="3" t="str">
        <f>INDEX(Mapping!$Y:$Y,MATCH(B88,Mapping!$W:$W,0))</f>
        <v>Rural</v>
      </c>
      <c r="B88" t="s">
        <v>136</v>
      </c>
      <c r="C88" s="111">
        <f ca="1">SUMIFS(OFFSET(CONSOLIDATED!$H$6:$H$84,0,MATCH(C$62,CONSOLIDATED!$H$2:$V$2,0)-1),CONSOLIDATED!$A$6:$A$84,$B88)</f>
        <v>14.35</v>
      </c>
      <c r="D88" s="111">
        <f t="shared" ref="D88:Q88" ca="1" si="27">IF($A88="Rural",$C88,C88*(1+D$149))</f>
        <v>14.35</v>
      </c>
      <c r="E88" s="111">
        <f t="shared" ca="1" si="27"/>
        <v>14.35</v>
      </c>
      <c r="F88" s="111">
        <f t="shared" ca="1" si="27"/>
        <v>14.35</v>
      </c>
      <c r="G88" s="111">
        <f t="shared" ca="1" si="27"/>
        <v>14.35</v>
      </c>
      <c r="H88" s="111">
        <f t="shared" ca="1" si="27"/>
        <v>14.35</v>
      </c>
      <c r="I88" s="111">
        <f t="shared" ca="1" si="27"/>
        <v>14.35</v>
      </c>
      <c r="J88" s="111">
        <f t="shared" ca="1" si="27"/>
        <v>14.35</v>
      </c>
      <c r="K88" s="111">
        <f t="shared" ca="1" si="27"/>
        <v>14.35</v>
      </c>
      <c r="L88" s="111">
        <f t="shared" ca="1" si="27"/>
        <v>14.35</v>
      </c>
      <c r="M88" s="111">
        <f t="shared" ca="1" si="27"/>
        <v>14.35</v>
      </c>
      <c r="N88" s="111">
        <f t="shared" ca="1" si="27"/>
        <v>14.35</v>
      </c>
      <c r="O88" s="111">
        <f t="shared" ca="1" si="27"/>
        <v>14.35</v>
      </c>
      <c r="P88" s="111">
        <f t="shared" ca="1" si="27"/>
        <v>14.35</v>
      </c>
      <c r="Q88" s="111">
        <f t="shared" ca="1" si="27"/>
        <v>14.35</v>
      </c>
    </row>
    <row r="89" spans="1:17" ht="16.5" x14ac:dyDescent="0.3">
      <c r="A89" s="3" t="str">
        <f>INDEX(Mapping!$Y:$Y,MATCH(B89,Mapping!$W:$W,0))</f>
        <v>Metro</v>
      </c>
      <c r="B89" t="s">
        <v>155</v>
      </c>
      <c r="C89" s="111">
        <f ca="1">SUMIFS(OFFSET(CONSOLIDATED!$H$6:$H$84,0,MATCH(C$62,CONSOLIDATED!$H$2:$V$2,0)-1),CONSOLIDATED!$A$6:$A$84,$B89)</f>
        <v>25.07</v>
      </c>
      <c r="D89" s="111">
        <f t="shared" ref="D89:Q89" ca="1" si="28">IF($A89="Rural",$C89,C89*(1+D$149))</f>
        <v>25.378186124911721</v>
      </c>
      <c r="E89" s="111">
        <f t="shared" ca="1" si="28"/>
        <v>25.686372249823449</v>
      </c>
      <c r="F89" s="111">
        <f t="shared" ca="1" si="28"/>
        <v>25.994558374735163</v>
      </c>
      <c r="G89" s="111">
        <f t="shared" ca="1" si="28"/>
        <v>26.302744499646902</v>
      </c>
      <c r="H89" s="111">
        <f t="shared" ca="1" si="28"/>
        <v>26.934445102570344</v>
      </c>
      <c r="I89" s="111">
        <f t="shared" ca="1" si="28"/>
        <v>27.566145705493788</v>
      </c>
      <c r="J89" s="111">
        <f t="shared" ca="1" si="28"/>
        <v>28.183327568750947</v>
      </c>
      <c r="K89" s="111">
        <f t="shared" ca="1" si="28"/>
        <v>28.785990692341798</v>
      </c>
      <c r="L89" s="111">
        <f t="shared" ca="1" si="28"/>
        <v>29.374135076266349</v>
      </c>
      <c r="M89" s="111">
        <f t="shared" ca="1" si="28"/>
        <v>29.961775788164104</v>
      </c>
      <c r="N89" s="111">
        <f t="shared" ca="1" si="28"/>
        <v>30.534897760395552</v>
      </c>
      <c r="O89" s="111">
        <f t="shared" ca="1" si="28"/>
        <v>31.093500992960713</v>
      </c>
      <c r="P89" s="111">
        <f t="shared" ca="1" si="28"/>
        <v>31.637585485859574</v>
      </c>
      <c r="Q89" s="111">
        <f t="shared" ca="1" si="28"/>
        <v>32.167151239092142</v>
      </c>
    </row>
    <row r="90" spans="1:17" ht="16.5" x14ac:dyDescent="0.3">
      <c r="A90" s="3" t="str">
        <f>INDEX(Mapping!$Y:$Y,MATCH(B90,Mapping!$W:$W,0))</f>
        <v>Rural</v>
      </c>
      <c r="B90" t="s">
        <v>170</v>
      </c>
      <c r="C90" s="111">
        <f ca="1">SUMIFS(OFFSET(CONSOLIDATED!$H$6:$H$84,0,MATCH(C$62,CONSOLIDATED!$H$2:$V$2,0)-1),CONSOLIDATED!$A$6:$A$84,$B90)</f>
        <v>27.9</v>
      </c>
      <c r="D90" s="111">
        <f t="shared" ref="D90:Q90" ca="1" si="29">IF($A90="Rural",$C90,C90*(1+D$149))</f>
        <v>27.9</v>
      </c>
      <c r="E90" s="111">
        <f t="shared" ca="1" si="29"/>
        <v>27.9</v>
      </c>
      <c r="F90" s="111">
        <f t="shared" ca="1" si="29"/>
        <v>27.9</v>
      </c>
      <c r="G90" s="111">
        <f t="shared" ca="1" si="29"/>
        <v>27.9</v>
      </c>
      <c r="H90" s="111">
        <f t="shared" ca="1" si="29"/>
        <v>27.9</v>
      </c>
      <c r="I90" s="111">
        <f t="shared" ca="1" si="29"/>
        <v>27.9</v>
      </c>
      <c r="J90" s="111">
        <f t="shared" ca="1" si="29"/>
        <v>27.9</v>
      </c>
      <c r="K90" s="111">
        <f t="shared" ca="1" si="29"/>
        <v>27.9</v>
      </c>
      <c r="L90" s="111">
        <f t="shared" ca="1" si="29"/>
        <v>27.9</v>
      </c>
      <c r="M90" s="111">
        <f t="shared" ca="1" si="29"/>
        <v>27.9</v>
      </c>
      <c r="N90" s="111">
        <f t="shared" ca="1" si="29"/>
        <v>27.9</v>
      </c>
      <c r="O90" s="111">
        <f t="shared" ca="1" si="29"/>
        <v>27.9</v>
      </c>
      <c r="P90" s="111">
        <f t="shared" ca="1" si="29"/>
        <v>27.9</v>
      </c>
      <c r="Q90" s="111">
        <f t="shared" ca="1" si="29"/>
        <v>27.9</v>
      </c>
    </row>
    <row r="91" spans="1:17" ht="16.5" x14ac:dyDescent="0.3">
      <c r="A91" s="3" t="str">
        <f>INDEX(Mapping!$Y:$Y,MATCH(B91,Mapping!$W:$W,0))</f>
        <v>Rural</v>
      </c>
      <c r="B91" t="s">
        <v>114</v>
      </c>
      <c r="C91" s="111">
        <f ca="1">SUMIFS(OFFSET(CONSOLIDATED!$H$6:$H$84,0,MATCH(C$62,CONSOLIDATED!$H$2:$V$2,0)-1),CONSOLIDATED!$A$6:$A$84,$B91)</f>
        <v>8.9699999999999989</v>
      </c>
      <c r="D91" s="111">
        <f t="shared" ref="D91:Q91" ca="1" si="30">IF($A91="Rural",$C91,C91*(1+D$149))</f>
        <v>8.9699999999999989</v>
      </c>
      <c r="E91" s="111">
        <f t="shared" ca="1" si="30"/>
        <v>8.9699999999999989</v>
      </c>
      <c r="F91" s="111">
        <f t="shared" ca="1" si="30"/>
        <v>8.9699999999999989</v>
      </c>
      <c r="G91" s="111">
        <f t="shared" ca="1" si="30"/>
        <v>8.9699999999999989</v>
      </c>
      <c r="H91" s="111">
        <f t="shared" ca="1" si="30"/>
        <v>8.9699999999999989</v>
      </c>
      <c r="I91" s="111">
        <f t="shared" ca="1" si="30"/>
        <v>8.9699999999999989</v>
      </c>
      <c r="J91" s="111">
        <f t="shared" ca="1" si="30"/>
        <v>8.9699999999999989</v>
      </c>
      <c r="K91" s="111">
        <f t="shared" ca="1" si="30"/>
        <v>8.9699999999999989</v>
      </c>
      <c r="L91" s="111">
        <f t="shared" ca="1" si="30"/>
        <v>8.9699999999999989</v>
      </c>
      <c r="M91" s="111">
        <f t="shared" ca="1" si="30"/>
        <v>8.9699999999999989</v>
      </c>
      <c r="N91" s="111">
        <f t="shared" ca="1" si="30"/>
        <v>8.9699999999999989</v>
      </c>
      <c r="O91" s="111">
        <f t="shared" ca="1" si="30"/>
        <v>8.9699999999999989</v>
      </c>
      <c r="P91" s="111">
        <f t="shared" ca="1" si="30"/>
        <v>8.9699999999999989</v>
      </c>
      <c r="Q91" s="111">
        <f t="shared" ca="1" si="30"/>
        <v>8.9699999999999989</v>
      </c>
    </row>
    <row r="92" spans="1:17" ht="16.5" x14ac:dyDescent="0.3">
      <c r="A92" s="3" t="str">
        <f>INDEX(Mapping!$Y:$Y,MATCH(B92,Mapping!$W:$W,0))</f>
        <v>Rural</v>
      </c>
      <c r="B92" t="s">
        <v>171</v>
      </c>
      <c r="C92" s="111">
        <f ca="1">SUMIFS(OFFSET(CONSOLIDATED!$H$6:$H$84,0,MATCH(C$62,CONSOLIDATED!$H$2:$V$2,0)-1),CONSOLIDATED!$A$6:$A$84,$B92)</f>
        <v>1.5</v>
      </c>
      <c r="D92" s="111">
        <f t="shared" ref="D92:Q92" ca="1" si="31">IF($A92="Rural",$C92,C92*(1+D$149))</f>
        <v>1.5</v>
      </c>
      <c r="E92" s="111">
        <f t="shared" ca="1" si="31"/>
        <v>1.5</v>
      </c>
      <c r="F92" s="111">
        <f t="shared" ca="1" si="31"/>
        <v>1.5</v>
      </c>
      <c r="G92" s="111">
        <f t="shared" ca="1" si="31"/>
        <v>1.5</v>
      </c>
      <c r="H92" s="111">
        <f t="shared" ca="1" si="31"/>
        <v>1.5</v>
      </c>
      <c r="I92" s="111">
        <f t="shared" ca="1" si="31"/>
        <v>1.5</v>
      </c>
      <c r="J92" s="111">
        <f t="shared" ca="1" si="31"/>
        <v>1.5</v>
      </c>
      <c r="K92" s="111">
        <f t="shared" ca="1" si="31"/>
        <v>1.5</v>
      </c>
      <c r="L92" s="111">
        <f t="shared" ca="1" si="31"/>
        <v>1.5</v>
      </c>
      <c r="M92" s="111">
        <f t="shared" ca="1" si="31"/>
        <v>1.5</v>
      </c>
      <c r="N92" s="111">
        <f t="shared" ca="1" si="31"/>
        <v>1.5</v>
      </c>
      <c r="O92" s="111">
        <f t="shared" ca="1" si="31"/>
        <v>1.5</v>
      </c>
      <c r="P92" s="111">
        <f t="shared" ca="1" si="31"/>
        <v>1.5</v>
      </c>
      <c r="Q92" s="111">
        <f t="shared" ca="1" si="31"/>
        <v>1.5</v>
      </c>
    </row>
    <row r="93" spans="1:17" ht="16.5" x14ac:dyDescent="0.3">
      <c r="A93" s="3" t="str">
        <f>INDEX(Mapping!$Y:$Y,MATCH(B93,Mapping!$W:$W,0))</f>
        <v>Rural</v>
      </c>
      <c r="B93" t="s">
        <v>172</v>
      </c>
      <c r="C93" s="111">
        <f ca="1">SUMIFS(OFFSET(CONSOLIDATED!$H$6:$H$84,0,MATCH(C$62,CONSOLIDATED!$H$2:$V$2,0)-1),CONSOLIDATED!$A$6:$A$84,$B93)</f>
        <v>0.8</v>
      </c>
      <c r="D93" s="111">
        <f t="shared" ref="D93:Q93" ca="1" si="32">IF($A93="Rural",$C93,C93*(1+D$149))</f>
        <v>0.8</v>
      </c>
      <c r="E93" s="111">
        <f t="shared" ca="1" si="32"/>
        <v>0.8</v>
      </c>
      <c r="F93" s="111">
        <f t="shared" ca="1" si="32"/>
        <v>0.8</v>
      </c>
      <c r="G93" s="111">
        <f t="shared" ca="1" si="32"/>
        <v>0.8</v>
      </c>
      <c r="H93" s="111">
        <f t="shared" ca="1" si="32"/>
        <v>0.8</v>
      </c>
      <c r="I93" s="111">
        <f t="shared" ca="1" si="32"/>
        <v>0.8</v>
      </c>
      <c r="J93" s="111">
        <f t="shared" ca="1" si="32"/>
        <v>0.8</v>
      </c>
      <c r="K93" s="111">
        <f t="shared" ca="1" si="32"/>
        <v>0.8</v>
      </c>
      <c r="L93" s="111">
        <f t="shared" ca="1" si="32"/>
        <v>0.8</v>
      </c>
      <c r="M93" s="111">
        <f t="shared" ca="1" si="32"/>
        <v>0.8</v>
      </c>
      <c r="N93" s="111">
        <f t="shared" ca="1" si="32"/>
        <v>0.8</v>
      </c>
      <c r="O93" s="111">
        <f t="shared" ca="1" si="32"/>
        <v>0.8</v>
      </c>
      <c r="P93" s="111">
        <f t="shared" ca="1" si="32"/>
        <v>0.8</v>
      </c>
      <c r="Q93" s="111">
        <f t="shared" ca="1" si="32"/>
        <v>0.8</v>
      </c>
    </row>
    <row r="94" spans="1:17" ht="16.5" x14ac:dyDescent="0.3">
      <c r="A94" s="3" t="str">
        <f>INDEX(Mapping!$Y:$Y,MATCH(B94,Mapping!$W:$W,0))</f>
        <v>Metro</v>
      </c>
      <c r="B94" t="s">
        <v>173</v>
      </c>
      <c r="C94" s="111">
        <f ca="1">SUMIFS(OFFSET(CONSOLIDATED!$H$6:$H$84,0,MATCH(C$62,CONSOLIDATED!$H$2:$V$2,0)-1),CONSOLIDATED!$A$6:$A$84,$B94)</f>
        <v>12.2</v>
      </c>
      <c r="D94" s="111">
        <f t="shared" ref="D94:Q94" ca="1" si="33">IF($A94="Rural",$C94,C94*(1+D$149))</f>
        <v>12.349974899239049</v>
      </c>
      <c r="E94" s="111">
        <f t="shared" ca="1" si="33"/>
        <v>12.499949798478102</v>
      </c>
      <c r="F94" s="111">
        <f t="shared" ca="1" si="33"/>
        <v>12.64992469771715</v>
      </c>
      <c r="G94" s="111">
        <f t="shared" ca="1" si="33"/>
        <v>12.799899596956211</v>
      </c>
      <c r="H94" s="111">
        <f t="shared" ca="1" si="33"/>
        <v>13.107308745566741</v>
      </c>
      <c r="I94" s="111">
        <f t="shared" ca="1" si="33"/>
        <v>13.414717894177272</v>
      </c>
      <c r="J94" s="111">
        <f t="shared" ca="1" si="33"/>
        <v>13.715061680844098</v>
      </c>
      <c r="K94" s="111">
        <f t="shared" ca="1" si="33"/>
        <v>14.008340105567209</v>
      </c>
      <c r="L94" s="111">
        <f t="shared" ca="1" si="33"/>
        <v>14.294553168346606</v>
      </c>
      <c r="M94" s="111">
        <f t="shared" ca="1" si="33"/>
        <v>14.580521125472758</v>
      </c>
      <c r="N94" s="111">
        <f t="shared" ca="1" si="33"/>
        <v>14.859423720655194</v>
      </c>
      <c r="O94" s="111">
        <f t="shared" ca="1" si="33"/>
        <v>15.131260953893925</v>
      </c>
      <c r="P94" s="111">
        <f t="shared" ca="1" si="33"/>
        <v>15.396032825188943</v>
      </c>
      <c r="Q94" s="111">
        <f t="shared" ca="1" si="33"/>
        <v>15.653739334540253</v>
      </c>
    </row>
    <row r="95" spans="1:17" ht="16.5" x14ac:dyDescent="0.3">
      <c r="A95" s="3" t="str">
        <f>INDEX(Mapping!$Y:$Y,MATCH(B95,Mapping!$W:$W,0))</f>
        <v>Rural</v>
      </c>
      <c r="B95" t="s">
        <v>174</v>
      </c>
      <c r="C95" s="111">
        <f ca="1">SUMIFS(OFFSET(CONSOLIDATED!$H$6:$H$84,0,MATCH(C$62,CONSOLIDATED!$H$2:$V$2,0)-1),CONSOLIDATED!$A$6:$A$84,$B95)</f>
        <v>2.7</v>
      </c>
      <c r="D95" s="111">
        <f t="shared" ref="D95:Q95" ca="1" si="34">IF($A95="Rural",$C95,C95*(1+D$149))</f>
        <v>2.7</v>
      </c>
      <c r="E95" s="111">
        <f t="shared" ca="1" si="34"/>
        <v>2.7</v>
      </c>
      <c r="F95" s="111">
        <f t="shared" ca="1" si="34"/>
        <v>2.7</v>
      </c>
      <c r="G95" s="111">
        <f t="shared" ca="1" si="34"/>
        <v>2.7</v>
      </c>
      <c r="H95" s="111">
        <f t="shared" ca="1" si="34"/>
        <v>2.7</v>
      </c>
      <c r="I95" s="111">
        <f t="shared" ca="1" si="34"/>
        <v>2.7</v>
      </c>
      <c r="J95" s="111">
        <f t="shared" ca="1" si="34"/>
        <v>2.7</v>
      </c>
      <c r="K95" s="111">
        <f t="shared" ca="1" si="34"/>
        <v>2.7</v>
      </c>
      <c r="L95" s="111">
        <f t="shared" ca="1" si="34"/>
        <v>2.7</v>
      </c>
      <c r="M95" s="111">
        <f t="shared" ca="1" si="34"/>
        <v>2.7</v>
      </c>
      <c r="N95" s="111">
        <f t="shared" ca="1" si="34"/>
        <v>2.7</v>
      </c>
      <c r="O95" s="111">
        <f t="shared" ca="1" si="34"/>
        <v>2.7</v>
      </c>
      <c r="P95" s="111">
        <f t="shared" ca="1" si="34"/>
        <v>2.7</v>
      </c>
      <c r="Q95" s="111">
        <f t="shared" ca="1" si="34"/>
        <v>2.7</v>
      </c>
    </row>
    <row r="96" spans="1:17" ht="16.5" x14ac:dyDescent="0.3">
      <c r="A96" s="3" t="str">
        <f>INDEX(Mapping!$Y:$Y,MATCH(B96,Mapping!$W:$W,0))</f>
        <v>Interface</v>
      </c>
      <c r="B96" t="s">
        <v>137</v>
      </c>
      <c r="C96" s="111">
        <f ca="1">SUMIFS(OFFSET(CONSOLIDATED!$H$6:$H$84,0,MATCH(C$62,CONSOLIDATED!$H$2:$V$2,0)-1),CONSOLIDATED!$A$6:$A$84,$B96)</f>
        <v>24.59</v>
      </c>
      <c r="D96" s="111">
        <f t="shared" ref="D96:Q96" ca="1" si="35">IF($A96="Rural",$C96,C96*(1+D$149))</f>
        <v>24.892285473138379</v>
      </c>
      <c r="E96" s="111">
        <f t="shared" ca="1" si="35"/>
        <v>25.194570946276766</v>
      </c>
      <c r="F96" s="111">
        <f t="shared" ca="1" si="35"/>
        <v>25.496856419415142</v>
      </c>
      <c r="G96" s="111">
        <f t="shared" ca="1" si="35"/>
        <v>25.799141892553543</v>
      </c>
      <c r="H96" s="111">
        <f t="shared" ca="1" si="35"/>
        <v>26.418747709302142</v>
      </c>
      <c r="I96" s="111">
        <f t="shared" ca="1" si="35"/>
        <v>27.038353526050749</v>
      </c>
      <c r="J96" s="111">
        <f t="shared" ca="1" si="35"/>
        <v>27.64371858458659</v>
      </c>
      <c r="K96" s="111">
        <f t="shared" ca="1" si="35"/>
        <v>28.234842884909646</v>
      </c>
      <c r="L96" s="111">
        <f t="shared" ca="1" si="35"/>
        <v>28.811726427019927</v>
      </c>
      <c r="M96" s="111">
        <f t="shared" ca="1" si="35"/>
        <v>29.388115940604521</v>
      </c>
      <c r="N96" s="111">
        <f t="shared" ca="1" si="35"/>
        <v>29.950264695976333</v>
      </c>
      <c r="O96" s="111">
        <f t="shared" ca="1" si="35"/>
        <v>30.49817269313538</v>
      </c>
      <c r="P96" s="111">
        <f t="shared" ca="1" si="35"/>
        <v>31.031839932081649</v>
      </c>
      <c r="Q96" s="111">
        <f t="shared" ca="1" si="35"/>
        <v>31.551266412815153</v>
      </c>
    </row>
    <row r="97" spans="1:17" ht="16.5" x14ac:dyDescent="0.3">
      <c r="A97" s="3" t="str">
        <f>INDEX(Mapping!$Y:$Y,MATCH(B97,Mapping!$W:$W,0))</f>
        <v>Rural</v>
      </c>
      <c r="B97" t="s">
        <v>115</v>
      </c>
      <c r="C97" s="111">
        <f ca="1">SUMIFS(OFFSET(CONSOLIDATED!$H$6:$H$84,0,MATCH(C$62,CONSOLIDATED!$H$2:$V$2,0)-1),CONSOLIDATED!$A$6:$A$84,$B97)</f>
        <v>1.52</v>
      </c>
      <c r="D97" s="111">
        <f t="shared" ref="D97:Q97" ca="1" si="36">IF($A97="Rural",$C97,C97*(1+D$149))</f>
        <v>1.52</v>
      </c>
      <c r="E97" s="111">
        <f t="shared" ca="1" si="36"/>
        <v>1.52</v>
      </c>
      <c r="F97" s="111">
        <f t="shared" ca="1" si="36"/>
        <v>1.52</v>
      </c>
      <c r="G97" s="111">
        <f t="shared" ca="1" si="36"/>
        <v>1.52</v>
      </c>
      <c r="H97" s="111">
        <f t="shared" ca="1" si="36"/>
        <v>1.52</v>
      </c>
      <c r="I97" s="111">
        <f t="shared" ca="1" si="36"/>
        <v>1.52</v>
      </c>
      <c r="J97" s="111">
        <f t="shared" ca="1" si="36"/>
        <v>1.52</v>
      </c>
      <c r="K97" s="111">
        <f t="shared" ca="1" si="36"/>
        <v>1.52</v>
      </c>
      <c r="L97" s="111">
        <f t="shared" ca="1" si="36"/>
        <v>1.52</v>
      </c>
      <c r="M97" s="111">
        <f t="shared" ca="1" si="36"/>
        <v>1.52</v>
      </c>
      <c r="N97" s="111">
        <f t="shared" ca="1" si="36"/>
        <v>1.52</v>
      </c>
      <c r="O97" s="111">
        <f t="shared" ca="1" si="36"/>
        <v>1.52</v>
      </c>
      <c r="P97" s="111">
        <f t="shared" ca="1" si="36"/>
        <v>1.52</v>
      </c>
      <c r="Q97" s="111">
        <f t="shared" ca="1" si="36"/>
        <v>1.52</v>
      </c>
    </row>
    <row r="98" spans="1:17" ht="16.5" x14ac:dyDescent="0.3">
      <c r="A98" s="3" t="str">
        <f>INDEX(Mapping!$Y:$Y,MATCH(B98,Mapping!$W:$W,0))</f>
        <v>Metro</v>
      </c>
      <c r="B98" t="s">
        <v>156</v>
      </c>
      <c r="C98" s="111">
        <f ca="1">SUMIFS(OFFSET(CONSOLIDATED!$H$6:$H$84,0,MATCH(C$62,CONSOLIDATED!$H$2:$V$2,0)-1),CONSOLIDATED!$A$6:$A$84,$B98)</f>
        <v>16.2</v>
      </c>
      <c r="D98" s="111">
        <f t="shared" ref="D98:Q98" ca="1" si="37">IF($A98="Rural",$C98,C98*(1+D$149))</f>
        <v>16.399146997350215</v>
      </c>
      <c r="E98" s="111">
        <f t="shared" ca="1" si="37"/>
        <v>16.598293994700434</v>
      </c>
      <c r="F98" s="111">
        <f t="shared" ca="1" si="37"/>
        <v>16.797440992050646</v>
      </c>
      <c r="G98" s="111">
        <f t="shared" ca="1" si="37"/>
        <v>16.996587989400872</v>
      </c>
      <c r="H98" s="111">
        <f t="shared" ca="1" si="37"/>
        <v>17.404787022801738</v>
      </c>
      <c r="I98" s="111">
        <f t="shared" ca="1" si="37"/>
        <v>17.812986056202607</v>
      </c>
      <c r="J98" s="111">
        <f t="shared" ca="1" si="37"/>
        <v>18.211803215547082</v>
      </c>
      <c r="K98" s="111">
        <f t="shared" ca="1" si="37"/>
        <v>18.601238500835148</v>
      </c>
      <c r="L98" s="111">
        <f t="shared" ca="1" si="37"/>
        <v>18.981291912066808</v>
      </c>
      <c r="M98" s="111">
        <f t="shared" ca="1" si="37"/>
        <v>19.361019855135961</v>
      </c>
      <c r="N98" s="111">
        <f t="shared" ca="1" si="37"/>
        <v>19.731365924148704</v>
      </c>
      <c r="O98" s="111">
        <f t="shared" ca="1" si="37"/>
        <v>20.092330119105053</v>
      </c>
      <c r="P98" s="111">
        <f t="shared" ca="1" si="37"/>
        <v>20.443912440004993</v>
      </c>
      <c r="Q98" s="111">
        <f t="shared" ca="1" si="37"/>
        <v>20.786112886848539</v>
      </c>
    </row>
    <row r="99" spans="1:17" ht="16.5" x14ac:dyDescent="0.3">
      <c r="A99" s="3" t="str">
        <f>INDEX(Mapping!$Y:$Y,MATCH(B99,Mapping!$W:$W,0))</f>
        <v>Metro</v>
      </c>
      <c r="B99" t="s">
        <v>116</v>
      </c>
      <c r="C99" s="111">
        <f ca="1">SUMIFS(OFFSET(CONSOLIDATED!$H$6:$H$84,0,MATCH(C$62,CONSOLIDATED!$H$2:$V$2,0)-1),CONSOLIDATED!$A$6:$A$84,$B99)</f>
        <v>16.559999999999999</v>
      </c>
      <c r="D99" s="111">
        <f t="shared" ref="D99:Q99" ca="1" si="38">IF($A99="Rural",$C99,C99*(1+D$149))</f>
        <v>16.76357248618022</v>
      </c>
      <c r="E99" s="111">
        <f t="shared" ca="1" si="38"/>
        <v>16.967144972360444</v>
      </c>
      <c r="F99" s="111">
        <f t="shared" ca="1" si="38"/>
        <v>17.170717458540658</v>
      </c>
      <c r="G99" s="111">
        <f t="shared" ca="1" si="38"/>
        <v>17.374289944720889</v>
      </c>
      <c r="H99" s="111">
        <f t="shared" ca="1" si="38"/>
        <v>17.791560067752886</v>
      </c>
      <c r="I99" s="111">
        <f t="shared" ca="1" si="38"/>
        <v>18.208830190784887</v>
      </c>
      <c r="J99" s="111">
        <f t="shared" ca="1" si="38"/>
        <v>18.616509953670349</v>
      </c>
      <c r="K99" s="111">
        <f t="shared" ca="1" si="38"/>
        <v>19.01459935640926</v>
      </c>
      <c r="L99" s="111">
        <f t="shared" ca="1" si="38"/>
        <v>19.403098399001625</v>
      </c>
      <c r="M99" s="111">
        <f t="shared" ca="1" si="38"/>
        <v>19.791264740805648</v>
      </c>
      <c r="N99" s="111">
        <f t="shared" ca="1" si="38"/>
        <v>20.169840722463118</v>
      </c>
      <c r="O99" s="111">
        <f t="shared" ca="1" si="38"/>
        <v>20.538826343974051</v>
      </c>
      <c r="P99" s="111">
        <f t="shared" ca="1" si="38"/>
        <v>20.898221605338435</v>
      </c>
      <c r="Q99" s="111">
        <f t="shared" ca="1" si="38"/>
        <v>21.248026506556279</v>
      </c>
    </row>
    <row r="100" spans="1:17" x14ac:dyDescent="0.3">
      <c r="A100" s="3" t="str">
        <f>INDEX(Mapping!$Y:$Y,MATCH(B100,Mapping!$W:$W,0))</f>
        <v>Rural</v>
      </c>
      <c r="B100" t="s">
        <v>157</v>
      </c>
      <c r="C100" s="111">
        <f ca="1">SUMIFS(OFFSET(CONSOLIDATED!$H$6:$H$84,0,MATCH(C$62,CONSOLIDATED!$H$2:$V$2,0)-1),CONSOLIDATED!$A$6:$A$84,$B100)</f>
        <v>7.8</v>
      </c>
      <c r="D100" s="111">
        <f t="shared" ref="D100:Q100" ca="1" si="39">IF($A100="Rural",$C100,C100*(1+D$149))</f>
        <v>7.8</v>
      </c>
      <c r="E100" s="111">
        <f t="shared" ca="1" si="39"/>
        <v>7.8</v>
      </c>
      <c r="F100" s="111">
        <f t="shared" ca="1" si="39"/>
        <v>7.8</v>
      </c>
      <c r="G100" s="111">
        <f t="shared" ca="1" si="39"/>
        <v>7.8</v>
      </c>
      <c r="H100" s="111">
        <f t="shared" ca="1" si="39"/>
        <v>7.8</v>
      </c>
      <c r="I100" s="111">
        <f t="shared" ca="1" si="39"/>
        <v>7.8</v>
      </c>
      <c r="J100" s="111">
        <f t="shared" ca="1" si="39"/>
        <v>7.8</v>
      </c>
      <c r="K100" s="111">
        <f t="shared" ca="1" si="39"/>
        <v>7.8</v>
      </c>
      <c r="L100" s="111">
        <f t="shared" ca="1" si="39"/>
        <v>7.8</v>
      </c>
      <c r="M100" s="111">
        <f t="shared" ca="1" si="39"/>
        <v>7.8</v>
      </c>
      <c r="N100" s="111">
        <f t="shared" ca="1" si="39"/>
        <v>7.8</v>
      </c>
      <c r="O100" s="111">
        <f t="shared" ca="1" si="39"/>
        <v>7.8</v>
      </c>
      <c r="P100" s="111">
        <f t="shared" ca="1" si="39"/>
        <v>7.8</v>
      </c>
      <c r="Q100" s="111">
        <f t="shared" ca="1" si="39"/>
        <v>7.8</v>
      </c>
    </row>
    <row r="101" spans="1:17" x14ac:dyDescent="0.3">
      <c r="A101" s="3" t="str">
        <f>INDEX(Mapping!$Y:$Y,MATCH(B101,Mapping!$W:$W,0))</f>
        <v>Rural</v>
      </c>
      <c r="B101" t="s">
        <v>138</v>
      </c>
      <c r="C101" s="111">
        <f ca="1">SUMIFS(OFFSET(CONSOLIDATED!$H$6:$H$84,0,MATCH(C$62,CONSOLIDATED!$H$2:$V$2,0)-1),CONSOLIDATED!$A$6:$A$84,$B101)</f>
        <v>1</v>
      </c>
      <c r="D101" s="111">
        <f t="shared" ref="D101:Q101" ca="1" si="40">IF($A101="Rural",$C101,C101*(1+D$149))</f>
        <v>1</v>
      </c>
      <c r="E101" s="111">
        <f t="shared" ca="1" si="40"/>
        <v>1</v>
      </c>
      <c r="F101" s="111">
        <f t="shared" ca="1" si="40"/>
        <v>1</v>
      </c>
      <c r="G101" s="111">
        <f t="shared" ca="1" si="40"/>
        <v>1</v>
      </c>
      <c r="H101" s="111">
        <f t="shared" ca="1" si="40"/>
        <v>1</v>
      </c>
      <c r="I101" s="111">
        <f t="shared" ca="1" si="40"/>
        <v>1</v>
      </c>
      <c r="J101" s="111">
        <f t="shared" ca="1" si="40"/>
        <v>1</v>
      </c>
      <c r="K101" s="111">
        <f t="shared" ca="1" si="40"/>
        <v>1</v>
      </c>
      <c r="L101" s="111">
        <f t="shared" ca="1" si="40"/>
        <v>1</v>
      </c>
      <c r="M101" s="111">
        <f t="shared" ca="1" si="40"/>
        <v>1</v>
      </c>
      <c r="N101" s="111">
        <f t="shared" ca="1" si="40"/>
        <v>1</v>
      </c>
      <c r="O101" s="111">
        <f t="shared" ca="1" si="40"/>
        <v>1</v>
      </c>
      <c r="P101" s="111">
        <f t="shared" ca="1" si="40"/>
        <v>1</v>
      </c>
      <c r="Q101" s="111">
        <f t="shared" ca="1" si="40"/>
        <v>1</v>
      </c>
    </row>
    <row r="102" spans="1:17" x14ac:dyDescent="0.3">
      <c r="A102" s="3" t="str">
        <f>INDEX(Mapping!$Y:$Y,MATCH(B102,Mapping!$W:$W,0))</f>
        <v>Rural</v>
      </c>
      <c r="B102" t="s">
        <v>139</v>
      </c>
      <c r="C102" s="111">
        <f ca="1">SUMIFS(OFFSET(CONSOLIDATED!$H$6:$H$84,0,MATCH(C$62,CONSOLIDATED!$H$2:$V$2,0)-1),CONSOLIDATED!$A$6:$A$84,$B102)</f>
        <v>5.2</v>
      </c>
      <c r="D102" s="111">
        <f t="shared" ref="D102:Q102" ca="1" si="41">IF($A102="Rural",$C102,C102*(1+D$149))</f>
        <v>5.2</v>
      </c>
      <c r="E102" s="111">
        <f t="shared" ca="1" si="41"/>
        <v>5.2</v>
      </c>
      <c r="F102" s="111">
        <f t="shared" ca="1" si="41"/>
        <v>5.2</v>
      </c>
      <c r="G102" s="111">
        <f t="shared" ca="1" si="41"/>
        <v>5.2</v>
      </c>
      <c r="H102" s="111">
        <f t="shared" ca="1" si="41"/>
        <v>5.2</v>
      </c>
      <c r="I102" s="111">
        <f t="shared" ca="1" si="41"/>
        <v>5.2</v>
      </c>
      <c r="J102" s="111">
        <f t="shared" ca="1" si="41"/>
        <v>5.2</v>
      </c>
      <c r="K102" s="111">
        <f t="shared" ca="1" si="41"/>
        <v>5.2</v>
      </c>
      <c r="L102" s="111">
        <f t="shared" ca="1" si="41"/>
        <v>5.2</v>
      </c>
      <c r="M102" s="111">
        <f t="shared" ca="1" si="41"/>
        <v>5.2</v>
      </c>
      <c r="N102" s="111">
        <f t="shared" ca="1" si="41"/>
        <v>5.2</v>
      </c>
      <c r="O102" s="111">
        <f t="shared" ca="1" si="41"/>
        <v>5.2</v>
      </c>
      <c r="P102" s="111">
        <f t="shared" ca="1" si="41"/>
        <v>5.2</v>
      </c>
      <c r="Q102" s="111">
        <f t="shared" ca="1" si="41"/>
        <v>5.2</v>
      </c>
    </row>
    <row r="103" spans="1:17" x14ac:dyDescent="0.3">
      <c r="A103" s="3" t="str">
        <f>INDEX(Mapping!$Y:$Y,MATCH(B103,Mapping!$W:$W,0))</f>
        <v>Metro</v>
      </c>
      <c r="B103" t="s">
        <v>117</v>
      </c>
      <c r="C103" s="111">
        <f ca="1">SUMIFS(OFFSET(CONSOLIDATED!$H$6:$H$84,0,MATCH(C$62,CONSOLIDATED!$H$2:$V$2,0)-1),CONSOLIDATED!$A$6:$A$84,$B103)</f>
        <v>8.1999999999999993</v>
      </c>
      <c r="D103" s="111">
        <f t="shared" ref="D103:Q103" ca="1" si="42">IF($A103="Rural",$C103,C103*(1+D$149))</f>
        <v>8.3008028011278849</v>
      </c>
      <c r="E103" s="111">
        <f t="shared" ca="1" si="42"/>
        <v>8.4016056022557741</v>
      </c>
      <c r="F103" s="111">
        <f t="shared" ca="1" si="42"/>
        <v>8.502408403383658</v>
      </c>
      <c r="G103" s="111">
        <f t="shared" ca="1" si="42"/>
        <v>8.6032112045115507</v>
      </c>
      <c r="H103" s="111">
        <f t="shared" ca="1" si="42"/>
        <v>8.809830468331743</v>
      </c>
      <c r="I103" s="111">
        <f t="shared" ca="1" si="42"/>
        <v>9.016449732151937</v>
      </c>
      <c r="J103" s="111">
        <f t="shared" ca="1" si="42"/>
        <v>9.2183201461411155</v>
      </c>
      <c r="K103" s="111">
        <f t="shared" ca="1" si="42"/>
        <v>9.4154417102992713</v>
      </c>
      <c r="L103" s="111">
        <f t="shared" ca="1" si="42"/>
        <v>9.6078144246264081</v>
      </c>
      <c r="M103" s="111">
        <f t="shared" ca="1" si="42"/>
        <v>9.8000223958095596</v>
      </c>
      <c r="N103" s="111">
        <f t="shared" ca="1" si="42"/>
        <v>9.9874815171616884</v>
      </c>
      <c r="O103" s="111">
        <f t="shared" ca="1" si="42"/>
        <v>10.170191788682803</v>
      </c>
      <c r="P103" s="111">
        <f t="shared" ca="1" si="42"/>
        <v>10.348153210372898</v>
      </c>
      <c r="Q103" s="111">
        <f t="shared" ca="1" si="42"/>
        <v>10.521365782231976</v>
      </c>
    </row>
    <row r="104" spans="1:17" x14ac:dyDescent="0.3">
      <c r="A104" s="3" t="str">
        <f>INDEX(Mapping!$Y:$Y,MATCH(B104,Mapping!$W:$W,0))</f>
        <v>Rural</v>
      </c>
      <c r="B104" t="s">
        <v>118</v>
      </c>
      <c r="C104" s="111">
        <f ca="1">SUMIFS(OFFSET(CONSOLIDATED!$H$6:$H$84,0,MATCH(C$62,CONSOLIDATED!$H$2:$V$2,0)-1),CONSOLIDATED!$A$6:$A$84,$B104)</f>
        <v>1.03</v>
      </c>
      <c r="D104" s="111">
        <f t="shared" ref="D104:Q104" ca="1" si="43">IF($A104="Rural",$C104,C104*(1+D$149))</f>
        <v>1.03</v>
      </c>
      <c r="E104" s="111">
        <f t="shared" ca="1" si="43"/>
        <v>1.03</v>
      </c>
      <c r="F104" s="111">
        <f t="shared" ca="1" si="43"/>
        <v>1.03</v>
      </c>
      <c r="G104" s="111">
        <f t="shared" ca="1" si="43"/>
        <v>1.03</v>
      </c>
      <c r="H104" s="111">
        <f t="shared" ca="1" si="43"/>
        <v>1.03</v>
      </c>
      <c r="I104" s="111">
        <f t="shared" ca="1" si="43"/>
        <v>1.03</v>
      </c>
      <c r="J104" s="111">
        <f t="shared" ca="1" si="43"/>
        <v>1.03</v>
      </c>
      <c r="K104" s="111">
        <f t="shared" ca="1" si="43"/>
        <v>1.03</v>
      </c>
      <c r="L104" s="111">
        <f t="shared" ca="1" si="43"/>
        <v>1.03</v>
      </c>
      <c r="M104" s="111">
        <f t="shared" ca="1" si="43"/>
        <v>1.03</v>
      </c>
      <c r="N104" s="111">
        <f t="shared" ca="1" si="43"/>
        <v>1.03</v>
      </c>
      <c r="O104" s="111">
        <f t="shared" ca="1" si="43"/>
        <v>1.03</v>
      </c>
      <c r="P104" s="111">
        <f t="shared" ca="1" si="43"/>
        <v>1.03</v>
      </c>
      <c r="Q104" s="111">
        <f t="shared" ca="1" si="43"/>
        <v>1.03</v>
      </c>
    </row>
    <row r="105" spans="1:17" x14ac:dyDescent="0.3">
      <c r="A105" s="3" t="str">
        <f>INDEX(Mapping!$Y:$Y,MATCH(B105,Mapping!$W:$W,0))</f>
        <v>Metro</v>
      </c>
      <c r="B105" t="s">
        <v>175</v>
      </c>
      <c r="C105" s="111">
        <f ca="1">SUMIFS(OFFSET(CONSOLIDATED!$H$6:$H$84,0,MATCH(C$62,CONSOLIDATED!$H$2:$V$2,0)-1),CONSOLIDATED!$A$6:$A$84,$B105)</f>
        <v>12.8</v>
      </c>
      <c r="D105" s="111">
        <f t="shared" ref="D105:Q105" ca="1" si="44">IF($A105="Rural",$C105,C105*(1+D$149))</f>
        <v>12.957350713955726</v>
      </c>
      <c r="E105" s="111">
        <f t="shared" ca="1" si="44"/>
        <v>13.114701427911456</v>
      </c>
      <c r="F105" s="111">
        <f t="shared" ca="1" si="44"/>
        <v>13.272052141867178</v>
      </c>
      <c r="G105" s="111">
        <f t="shared" ca="1" si="44"/>
        <v>13.429402855822913</v>
      </c>
      <c r="H105" s="111">
        <f t="shared" ca="1" si="44"/>
        <v>13.751930487151993</v>
      </c>
      <c r="I105" s="111">
        <f t="shared" ca="1" si="44"/>
        <v>14.074458118481077</v>
      </c>
      <c r="J105" s="111">
        <f t="shared" ca="1" si="44"/>
        <v>14.389572911049552</v>
      </c>
      <c r="K105" s="111">
        <f t="shared" ca="1" si="44"/>
        <v>14.697274864857405</v>
      </c>
      <c r="L105" s="111">
        <f t="shared" ca="1" si="44"/>
        <v>14.997563979904642</v>
      </c>
      <c r="M105" s="111">
        <f t="shared" ca="1" si="44"/>
        <v>15.297595934922244</v>
      </c>
      <c r="N105" s="111">
        <f t="shared" ca="1" si="44"/>
        <v>15.590215051179227</v>
      </c>
      <c r="O105" s="111">
        <f t="shared" ca="1" si="44"/>
        <v>15.8754213286756</v>
      </c>
      <c r="P105" s="111">
        <f t="shared" ca="1" si="44"/>
        <v>16.153214767411356</v>
      </c>
      <c r="Q105" s="111">
        <f t="shared" ca="1" si="44"/>
        <v>16.4235953673865</v>
      </c>
    </row>
    <row r="106" spans="1:17" x14ac:dyDescent="0.3">
      <c r="A106" s="3" t="str">
        <f>INDEX(Mapping!$Y:$Y,MATCH(B106,Mapping!$W:$W,0))</f>
        <v>Metro</v>
      </c>
      <c r="B106" t="s">
        <v>119</v>
      </c>
      <c r="C106" s="111">
        <f ca="1">SUMIFS(OFFSET(CONSOLIDATED!$H$6:$H$84,0,MATCH(C$62,CONSOLIDATED!$H$2:$V$2,0)-1),CONSOLIDATED!$A$6:$A$84,$B106)</f>
        <v>12.799999999999999</v>
      </c>
      <c r="D106" s="111">
        <f t="shared" ref="D106:Q106" ca="1" si="45">IF($A106="Rural",$C106,C106*(1+D$149))</f>
        <v>12.957350713955725</v>
      </c>
      <c r="E106" s="111">
        <f t="shared" ca="1" si="45"/>
        <v>13.114701427911452</v>
      </c>
      <c r="F106" s="111">
        <f t="shared" ca="1" si="45"/>
        <v>13.272052141867174</v>
      </c>
      <c r="G106" s="111">
        <f t="shared" ca="1" si="45"/>
        <v>13.429402855822909</v>
      </c>
      <c r="H106" s="111">
        <f t="shared" ca="1" si="45"/>
        <v>13.75193048715199</v>
      </c>
      <c r="I106" s="111">
        <f t="shared" ca="1" si="45"/>
        <v>14.074458118481072</v>
      </c>
      <c r="J106" s="111">
        <f t="shared" ca="1" si="45"/>
        <v>14.389572911049545</v>
      </c>
      <c r="K106" s="111">
        <f t="shared" ca="1" si="45"/>
        <v>14.697274864857398</v>
      </c>
      <c r="L106" s="111">
        <f t="shared" ca="1" si="45"/>
        <v>14.997563979904635</v>
      </c>
      <c r="M106" s="111">
        <f t="shared" ca="1" si="45"/>
        <v>15.297595934922237</v>
      </c>
      <c r="N106" s="111">
        <f t="shared" ca="1" si="45"/>
        <v>15.59021505117922</v>
      </c>
      <c r="O106" s="111">
        <f t="shared" ca="1" si="45"/>
        <v>15.875421328675593</v>
      </c>
      <c r="P106" s="111">
        <f t="shared" ca="1" si="45"/>
        <v>16.153214767411349</v>
      </c>
      <c r="Q106" s="111">
        <f t="shared" ca="1" si="45"/>
        <v>16.423595367386493</v>
      </c>
    </row>
    <row r="107" spans="1:17" x14ac:dyDescent="0.3">
      <c r="A107" s="3" t="str">
        <f>INDEX(Mapping!$Y:$Y,MATCH(B107,Mapping!$W:$W,0))</f>
        <v>Metro</v>
      </c>
      <c r="B107" t="s">
        <v>176</v>
      </c>
      <c r="C107" s="111">
        <f ca="1">SUMIFS(OFFSET(CONSOLIDATED!$H$6:$H$84,0,MATCH(C$62,CONSOLIDATED!$H$2:$V$2,0)-1),CONSOLIDATED!$A$6:$A$84,$B107)</f>
        <v>17.8</v>
      </c>
      <c r="D107" s="111">
        <f t="shared" ref="D107:Q107" ca="1" si="46">IF($A107="Rural",$C107,C107*(1+D$149))</f>
        <v>18.01881583659468</v>
      </c>
      <c r="E107" s="111">
        <f t="shared" ca="1" si="46"/>
        <v>18.237631673189366</v>
      </c>
      <c r="F107" s="111">
        <f t="shared" ca="1" si="46"/>
        <v>18.456447509784041</v>
      </c>
      <c r="G107" s="111">
        <f t="shared" ca="1" si="46"/>
        <v>18.675263346378735</v>
      </c>
      <c r="H107" s="111">
        <f t="shared" ca="1" si="46"/>
        <v>19.123778333695736</v>
      </c>
      <c r="I107" s="111">
        <f t="shared" ca="1" si="46"/>
        <v>19.572293321012744</v>
      </c>
      <c r="J107" s="111">
        <f t="shared" ca="1" si="46"/>
        <v>20.010499829428277</v>
      </c>
      <c r="K107" s="111">
        <f t="shared" ca="1" si="46"/>
        <v>20.438397858942324</v>
      </c>
      <c r="L107" s="111">
        <f t="shared" ca="1" si="46"/>
        <v>20.855987409554889</v>
      </c>
      <c r="M107" s="111">
        <f t="shared" ca="1" si="46"/>
        <v>21.273219347001241</v>
      </c>
      <c r="N107" s="111">
        <f t="shared" ca="1" si="46"/>
        <v>21.680142805546108</v>
      </c>
      <c r="O107" s="111">
        <f t="shared" ca="1" si="46"/>
        <v>22.076757785189503</v>
      </c>
      <c r="P107" s="111">
        <f t="shared" ca="1" si="46"/>
        <v>22.463064285931413</v>
      </c>
      <c r="Q107" s="111">
        <f t="shared" ca="1" si="46"/>
        <v>22.839062307771851</v>
      </c>
    </row>
    <row r="108" spans="1:17" x14ac:dyDescent="0.3">
      <c r="A108" s="3" t="str">
        <f>INDEX(Mapping!$Y:$Y,MATCH(B108,Mapping!$W:$W,0))</f>
        <v>Interface</v>
      </c>
      <c r="B108" t="s">
        <v>177</v>
      </c>
      <c r="C108" s="111">
        <f ca="1">SUMIFS(OFFSET(CONSOLIDATED!$H$6:$H$84,0,MATCH(C$62,CONSOLIDATED!$H$2:$V$2,0)-1),CONSOLIDATED!$A$6:$A$84,$B108)</f>
        <v>21.470000000000002</v>
      </c>
      <c r="D108" s="111">
        <f t="shared" ref="D108:Q108" ca="1" si="47">IF($A108="Rural",$C108,C108*(1+D$149))</f>
        <v>21.733931236611674</v>
      </c>
      <c r="E108" s="111">
        <f t="shared" ca="1" si="47"/>
        <v>21.997862473223353</v>
      </c>
      <c r="F108" s="111">
        <f t="shared" ca="1" si="47"/>
        <v>22.261793709835022</v>
      </c>
      <c r="G108" s="111">
        <f t="shared" ca="1" si="47"/>
        <v>22.525724946446712</v>
      </c>
      <c r="H108" s="111">
        <f t="shared" ca="1" si="47"/>
        <v>23.066714653058849</v>
      </c>
      <c r="I108" s="111">
        <f t="shared" ca="1" si="47"/>
        <v>23.60770435967099</v>
      </c>
      <c r="J108" s="111">
        <f t="shared" ca="1" si="47"/>
        <v>24.136260187518264</v>
      </c>
      <c r="K108" s="111">
        <f t="shared" ca="1" si="47"/>
        <v>24.652382136600657</v>
      </c>
      <c r="L108" s="111">
        <f t="shared" ca="1" si="47"/>
        <v>25.156070206918173</v>
      </c>
      <c r="M108" s="111">
        <f t="shared" ca="1" si="47"/>
        <v>25.659326931467227</v>
      </c>
      <c r="N108" s="111">
        <f t="shared" ca="1" si="47"/>
        <v>26.1501497772514</v>
      </c>
      <c r="O108" s="111">
        <f t="shared" ca="1" si="47"/>
        <v>26.628538744270706</v>
      </c>
      <c r="P108" s="111">
        <f t="shared" ca="1" si="47"/>
        <v>27.094493832525135</v>
      </c>
      <c r="Q108" s="111">
        <f t="shared" ca="1" si="47"/>
        <v>27.548015042014697</v>
      </c>
    </row>
    <row r="109" spans="1:17" x14ac:dyDescent="0.3">
      <c r="A109" s="3" t="str">
        <f>INDEX(Mapping!$Y:$Y,MATCH(B109,Mapping!$W:$W,0))</f>
        <v>Rural</v>
      </c>
      <c r="B109" t="s">
        <v>140</v>
      </c>
      <c r="C109" s="111">
        <f ca="1">SUMIFS(OFFSET(CONSOLIDATED!$H$6:$H$84,0,MATCH(C$62,CONSOLIDATED!$H$2:$V$2,0)-1),CONSOLIDATED!$A$6:$A$84,$B109)</f>
        <v>8.2999999999999989</v>
      </c>
      <c r="D109" s="111">
        <f t="shared" ref="D109:Q109" ca="1" si="48">IF($A109="Rural",$C109,C109*(1+D$149))</f>
        <v>8.2999999999999989</v>
      </c>
      <c r="E109" s="111">
        <f t="shared" ca="1" si="48"/>
        <v>8.2999999999999989</v>
      </c>
      <c r="F109" s="111">
        <f t="shared" ca="1" si="48"/>
        <v>8.2999999999999989</v>
      </c>
      <c r="G109" s="111">
        <f t="shared" ca="1" si="48"/>
        <v>8.2999999999999989</v>
      </c>
      <c r="H109" s="111">
        <f t="shared" ca="1" si="48"/>
        <v>8.2999999999999989</v>
      </c>
      <c r="I109" s="111">
        <f t="shared" ca="1" si="48"/>
        <v>8.2999999999999989</v>
      </c>
      <c r="J109" s="111">
        <f t="shared" ca="1" si="48"/>
        <v>8.2999999999999989</v>
      </c>
      <c r="K109" s="111">
        <f t="shared" ca="1" si="48"/>
        <v>8.2999999999999989</v>
      </c>
      <c r="L109" s="111">
        <f t="shared" ca="1" si="48"/>
        <v>8.2999999999999989</v>
      </c>
      <c r="M109" s="111">
        <f t="shared" ca="1" si="48"/>
        <v>8.2999999999999989</v>
      </c>
      <c r="N109" s="111">
        <f t="shared" ca="1" si="48"/>
        <v>8.2999999999999989</v>
      </c>
      <c r="O109" s="111">
        <f t="shared" ca="1" si="48"/>
        <v>8.2999999999999989</v>
      </c>
      <c r="P109" s="111">
        <f t="shared" ca="1" si="48"/>
        <v>8.2999999999999989</v>
      </c>
      <c r="Q109" s="111">
        <f t="shared" ca="1" si="48"/>
        <v>8.2999999999999989</v>
      </c>
    </row>
    <row r="110" spans="1:17" x14ac:dyDescent="0.3">
      <c r="A110" s="3" t="str">
        <f>INDEX(Mapping!$Y:$Y,MATCH(B110,Mapping!$W:$W,0))</f>
        <v>Interface</v>
      </c>
      <c r="B110" t="s">
        <v>120</v>
      </c>
      <c r="C110" s="111">
        <f ca="1">SUMIFS(OFFSET(CONSOLIDATED!$H$6:$H$84,0,MATCH(C$62,CONSOLIDATED!$H$2:$V$2,0)-1),CONSOLIDATED!$A$6:$A$84,$B110)</f>
        <v>5.1999999999999993</v>
      </c>
      <c r="D110" s="111">
        <f t="shared" ref="D110:Q110" ca="1" si="49">IF($A110="Rural",$C110,C110*(1+D$149))</f>
        <v>5.2639237275445128</v>
      </c>
      <c r="E110" s="111">
        <f t="shared" ca="1" si="49"/>
        <v>5.3278474550890271</v>
      </c>
      <c r="F110" s="111">
        <f t="shared" ca="1" si="49"/>
        <v>5.3917711826335388</v>
      </c>
      <c r="G110" s="111">
        <f t="shared" ca="1" si="49"/>
        <v>5.4556949101780559</v>
      </c>
      <c r="H110" s="111">
        <f t="shared" ca="1" si="49"/>
        <v>5.5867217604054948</v>
      </c>
      <c r="I110" s="111">
        <f t="shared" ca="1" si="49"/>
        <v>5.7177486106329347</v>
      </c>
      <c r="J110" s="111">
        <f t="shared" ca="1" si="49"/>
        <v>5.8457639951138773</v>
      </c>
      <c r="K110" s="111">
        <f t="shared" ca="1" si="49"/>
        <v>5.9707679138483183</v>
      </c>
      <c r="L110" s="111">
        <f t="shared" ca="1" si="49"/>
        <v>6.0927603668362584</v>
      </c>
      <c r="M110" s="111">
        <f t="shared" ca="1" si="49"/>
        <v>6.2146483485621591</v>
      </c>
      <c r="N110" s="111">
        <f t="shared" ca="1" si="49"/>
        <v>6.3335248645415581</v>
      </c>
      <c r="O110" s="111">
        <f t="shared" ca="1" si="49"/>
        <v>6.4493899147744598</v>
      </c>
      <c r="P110" s="111">
        <f t="shared" ca="1" si="49"/>
        <v>6.5622434992608607</v>
      </c>
      <c r="Q110" s="111">
        <f t="shared" ca="1" si="49"/>
        <v>6.6720856180007635</v>
      </c>
    </row>
    <row r="111" spans="1:17" x14ac:dyDescent="0.3">
      <c r="A111" s="3" t="str">
        <f>INDEX(Mapping!$Y:$Y,MATCH(B111,Mapping!$W:$W,0))</f>
        <v>Rural</v>
      </c>
      <c r="B111" t="s">
        <v>121</v>
      </c>
      <c r="C111" s="111">
        <f ca="1">SUMIFS(OFFSET(CONSOLIDATED!$H$6:$H$84,0,MATCH(C$62,CONSOLIDATED!$H$2:$V$2,0)-1),CONSOLIDATED!$A$6:$A$84,$B111)</f>
        <v>3.7</v>
      </c>
      <c r="D111" s="111">
        <f t="shared" ref="D111:Q111" ca="1" si="50">IF($A111="Rural",$C111,C111*(1+D$149))</f>
        <v>3.7</v>
      </c>
      <c r="E111" s="111">
        <f t="shared" ca="1" si="50"/>
        <v>3.7</v>
      </c>
      <c r="F111" s="111">
        <f t="shared" ca="1" si="50"/>
        <v>3.7</v>
      </c>
      <c r="G111" s="111">
        <f t="shared" ca="1" si="50"/>
        <v>3.7</v>
      </c>
      <c r="H111" s="111">
        <f t="shared" ca="1" si="50"/>
        <v>3.7</v>
      </c>
      <c r="I111" s="111">
        <f t="shared" ca="1" si="50"/>
        <v>3.7</v>
      </c>
      <c r="J111" s="111">
        <f t="shared" ca="1" si="50"/>
        <v>3.7</v>
      </c>
      <c r="K111" s="111">
        <f t="shared" ca="1" si="50"/>
        <v>3.7</v>
      </c>
      <c r="L111" s="111">
        <f t="shared" ca="1" si="50"/>
        <v>3.7</v>
      </c>
      <c r="M111" s="111">
        <f t="shared" ca="1" si="50"/>
        <v>3.7</v>
      </c>
      <c r="N111" s="111">
        <f t="shared" ca="1" si="50"/>
        <v>3.7</v>
      </c>
      <c r="O111" s="111">
        <f t="shared" ca="1" si="50"/>
        <v>3.7</v>
      </c>
      <c r="P111" s="111">
        <f t="shared" ca="1" si="50"/>
        <v>3.7</v>
      </c>
      <c r="Q111" s="111">
        <f t="shared" ca="1" si="50"/>
        <v>3.7</v>
      </c>
    </row>
    <row r="112" spans="1:17" x14ac:dyDescent="0.3">
      <c r="A112" s="3" t="str">
        <f>INDEX(Mapping!$Y:$Y,MATCH(B112,Mapping!$W:$W,0))</f>
        <v>Metro</v>
      </c>
      <c r="B112" t="s">
        <v>122</v>
      </c>
      <c r="C112" s="111">
        <f ca="1">SUMIFS(OFFSET(CONSOLIDATED!$H$6:$H$84,0,MATCH(C$62,CONSOLIDATED!$H$2:$V$2,0)-1),CONSOLIDATED!$A$6:$A$84,$B112)</f>
        <v>15.9</v>
      </c>
      <c r="D112" s="111">
        <f t="shared" ref="D112:Q112" ca="1" si="51">IF($A112="Rural",$C112,C112*(1+D$149))</f>
        <v>16.095459089991877</v>
      </c>
      <c r="E112" s="111">
        <f t="shared" ca="1" si="51"/>
        <v>16.290918179983759</v>
      </c>
      <c r="F112" s="111">
        <f t="shared" ca="1" si="51"/>
        <v>16.486377269975634</v>
      </c>
      <c r="G112" s="111">
        <f t="shared" ca="1" si="51"/>
        <v>16.681836359967523</v>
      </c>
      <c r="H112" s="111">
        <f t="shared" ca="1" si="51"/>
        <v>17.082476152009114</v>
      </c>
      <c r="I112" s="111">
        <f t="shared" ca="1" si="51"/>
        <v>17.483115944050709</v>
      </c>
      <c r="J112" s="111">
        <f t="shared" ca="1" si="51"/>
        <v>17.874547600444359</v>
      </c>
      <c r="K112" s="111">
        <f t="shared" ca="1" si="51"/>
        <v>18.256771121190052</v>
      </c>
      <c r="L112" s="111">
        <f t="shared" ca="1" si="51"/>
        <v>18.629786506287793</v>
      </c>
      <c r="M112" s="111">
        <f t="shared" ca="1" si="51"/>
        <v>19.002482450411222</v>
      </c>
      <c r="N112" s="111">
        <f t="shared" ca="1" si="51"/>
        <v>19.365970258886691</v>
      </c>
      <c r="O112" s="111">
        <f t="shared" ca="1" si="51"/>
        <v>19.720249931714218</v>
      </c>
      <c r="P112" s="111">
        <f t="shared" ca="1" si="51"/>
        <v>20.065321468893789</v>
      </c>
      <c r="Q112" s="111">
        <f t="shared" ca="1" si="51"/>
        <v>20.401184870425414</v>
      </c>
    </row>
    <row r="113" spans="1:17" x14ac:dyDescent="0.3">
      <c r="A113" s="3" t="str">
        <f>INDEX(Mapping!$Y:$Y,MATCH(B113,Mapping!$W:$W,0))</f>
        <v>Metro</v>
      </c>
      <c r="B113" t="s">
        <v>178</v>
      </c>
      <c r="C113" s="111">
        <f ca="1">SUMIFS(OFFSET(CONSOLIDATED!$H$6:$H$84,0,MATCH(C$62,CONSOLIDATED!$H$2:$V$2,0)-1),CONSOLIDATED!$A$6:$A$84,$B113)</f>
        <v>12.27</v>
      </c>
      <c r="D113" s="111">
        <f t="shared" ref="D113:Q113" ca="1" si="52">IF($A113="Rural",$C113,C113*(1+D$149))</f>
        <v>12.420835410955995</v>
      </c>
      <c r="E113" s="111">
        <f t="shared" ca="1" si="52"/>
        <v>12.571670821911994</v>
      </c>
      <c r="F113" s="111">
        <f t="shared" ca="1" si="52"/>
        <v>12.722506232867987</v>
      </c>
      <c r="G113" s="111">
        <f t="shared" ca="1" si="52"/>
        <v>12.873341643823993</v>
      </c>
      <c r="H113" s="111">
        <f t="shared" ca="1" si="52"/>
        <v>13.182514615418354</v>
      </c>
      <c r="I113" s="111">
        <f t="shared" ca="1" si="52"/>
        <v>13.491687587012716</v>
      </c>
      <c r="J113" s="111">
        <f t="shared" ca="1" si="52"/>
        <v>13.793754657701401</v>
      </c>
      <c r="K113" s="111">
        <f t="shared" ca="1" si="52"/>
        <v>14.088715827484398</v>
      </c>
      <c r="L113" s="111">
        <f t="shared" ca="1" si="52"/>
        <v>14.376571096361712</v>
      </c>
      <c r="M113" s="111">
        <f t="shared" ca="1" si="52"/>
        <v>14.664179853241865</v>
      </c>
      <c r="N113" s="111">
        <f t="shared" ca="1" si="52"/>
        <v>14.944682709216332</v>
      </c>
      <c r="O113" s="111">
        <f t="shared" ca="1" si="52"/>
        <v>15.218079664285121</v>
      </c>
      <c r="P113" s="111">
        <f t="shared" ca="1" si="52"/>
        <v>15.484370718448224</v>
      </c>
      <c r="Q113" s="111">
        <f t="shared" ca="1" si="52"/>
        <v>15.743555871705649</v>
      </c>
    </row>
    <row r="114" spans="1:17" x14ac:dyDescent="0.3">
      <c r="A114" s="3" t="str">
        <f>INDEX(Mapping!$Y:$Y,MATCH(B114,Mapping!$W:$W,0))</f>
        <v>Rural</v>
      </c>
      <c r="B114" t="s">
        <v>179</v>
      </c>
      <c r="C114" s="111">
        <f ca="1">SUMIFS(OFFSET(CONSOLIDATED!$H$6:$H$84,0,MATCH(C$62,CONSOLIDATED!$H$2:$V$2,0)-1),CONSOLIDATED!$A$6:$A$84,$B114)</f>
        <v>5.36</v>
      </c>
      <c r="D114" s="111">
        <f t="shared" ref="D114:Q114" ca="1" si="53">IF($A114="Rural",$C114,C114*(1+D$149))</f>
        <v>5.36</v>
      </c>
      <c r="E114" s="111">
        <f t="shared" ca="1" si="53"/>
        <v>5.36</v>
      </c>
      <c r="F114" s="111">
        <f t="shared" ca="1" si="53"/>
        <v>5.36</v>
      </c>
      <c r="G114" s="111">
        <f t="shared" ca="1" si="53"/>
        <v>5.36</v>
      </c>
      <c r="H114" s="111">
        <f t="shared" ca="1" si="53"/>
        <v>5.36</v>
      </c>
      <c r="I114" s="111">
        <f t="shared" ca="1" si="53"/>
        <v>5.36</v>
      </c>
      <c r="J114" s="111">
        <f t="shared" ca="1" si="53"/>
        <v>5.36</v>
      </c>
      <c r="K114" s="111">
        <f t="shared" ca="1" si="53"/>
        <v>5.36</v>
      </c>
      <c r="L114" s="111">
        <f t="shared" ca="1" si="53"/>
        <v>5.36</v>
      </c>
      <c r="M114" s="111">
        <f t="shared" ca="1" si="53"/>
        <v>5.36</v>
      </c>
      <c r="N114" s="111">
        <f t="shared" ca="1" si="53"/>
        <v>5.36</v>
      </c>
      <c r="O114" s="111">
        <f t="shared" ca="1" si="53"/>
        <v>5.36</v>
      </c>
      <c r="P114" s="111">
        <f t="shared" ca="1" si="53"/>
        <v>5.36</v>
      </c>
      <c r="Q114" s="111">
        <f t="shared" ca="1" si="53"/>
        <v>5.36</v>
      </c>
    </row>
    <row r="115" spans="1:17" x14ac:dyDescent="0.3">
      <c r="A115" s="3" t="str">
        <f>INDEX(Mapping!$Y:$Y,MATCH(B115,Mapping!$W:$W,0))</f>
        <v>Metro</v>
      </c>
      <c r="B115" t="s">
        <v>141</v>
      </c>
      <c r="C115" s="111">
        <f ca="1">SUMIFS(OFFSET(CONSOLIDATED!$H$6:$H$84,0,MATCH(C$62,CONSOLIDATED!$H$2:$V$2,0)-1),CONSOLIDATED!$A$6:$A$84,$B115)</f>
        <v>24.8</v>
      </c>
      <c r="D115" s="111">
        <f t="shared" ref="D115:Q115" ca="1" si="54">IF($A115="Rural",$C115,C115*(1+D$149))</f>
        <v>25.104867008289219</v>
      </c>
      <c r="E115" s="111">
        <f t="shared" ca="1" si="54"/>
        <v>25.409734016578444</v>
      </c>
      <c r="F115" s="111">
        <f t="shared" ca="1" si="54"/>
        <v>25.714601024867655</v>
      </c>
      <c r="G115" s="111">
        <f t="shared" ca="1" si="54"/>
        <v>26.01946803315689</v>
      </c>
      <c r="H115" s="111">
        <f t="shared" ca="1" si="54"/>
        <v>26.644365318856984</v>
      </c>
      <c r="I115" s="111">
        <f t="shared" ca="1" si="54"/>
        <v>27.269262604557081</v>
      </c>
      <c r="J115" s="111">
        <f t="shared" ca="1" si="54"/>
        <v>27.879797515158497</v>
      </c>
      <c r="K115" s="111">
        <f t="shared" ca="1" si="54"/>
        <v>28.475970050661214</v>
      </c>
      <c r="L115" s="111">
        <f t="shared" ca="1" si="54"/>
        <v>29.057780211065236</v>
      </c>
      <c r="M115" s="111">
        <f t="shared" ca="1" si="54"/>
        <v>29.639092123911837</v>
      </c>
      <c r="N115" s="111">
        <f t="shared" ca="1" si="54"/>
        <v>30.206041661659739</v>
      </c>
      <c r="O115" s="111">
        <f t="shared" ca="1" si="54"/>
        <v>30.758628824308964</v>
      </c>
      <c r="P115" s="111">
        <f t="shared" ca="1" si="54"/>
        <v>31.296853611859493</v>
      </c>
      <c r="Q115" s="111">
        <f t="shared" ca="1" si="54"/>
        <v>31.820716024311338</v>
      </c>
    </row>
    <row r="116" spans="1:17" x14ac:dyDescent="0.3">
      <c r="A116" s="3" t="str">
        <f>INDEX(Mapping!$Y:$Y,MATCH(B116,Mapping!$W:$W,0))</f>
        <v>Interface</v>
      </c>
      <c r="B116" t="s">
        <v>158</v>
      </c>
      <c r="C116" s="111">
        <f ca="1">SUMIFS(OFFSET(CONSOLIDATED!$H$6:$H$84,0,MATCH(C$62,CONSOLIDATED!$H$2:$V$2,0)-1),CONSOLIDATED!$A$6:$A$84,$B116)</f>
        <v>13.31</v>
      </c>
      <c r="D116" s="111">
        <f t="shared" ref="D116:Q116" ca="1" si="55">IF($A116="Rural",$C116,C116*(1+D$149))</f>
        <v>13.473620156464898</v>
      </c>
      <c r="E116" s="111">
        <f t="shared" ca="1" si="55"/>
        <v>13.6372403129298</v>
      </c>
      <c r="F116" s="111">
        <f t="shared" ca="1" si="55"/>
        <v>13.800860469394696</v>
      </c>
      <c r="G116" s="111">
        <f t="shared" ca="1" si="55"/>
        <v>13.964480625859604</v>
      </c>
      <c r="H116" s="111">
        <f t="shared" ca="1" si="55"/>
        <v>14.299858967499452</v>
      </c>
      <c r="I116" s="111">
        <f t="shared" ca="1" si="55"/>
        <v>14.635237309139303</v>
      </c>
      <c r="J116" s="111">
        <f t="shared" ca="1" si="55"/>
        <v>14.962907456724176</v>
      </c>
      <c r="K116" s="111">
        <f t="shared" ca="1" si="55"/>
        <v>15.282869410254062</v>
      </c>
      <c r="L116" s="111">
        <f t="shared" ca="1" si="55"/>
        <v>15.595123169728963</v>
      </c>
      <c r="M116" s="111">
        <f t="shared" ca="1" si="55"/>
        <v>15.907109522954297</v>
      </c>
      <c r="N116" s="111">
        <f t="shared" ca="1" si="55"/>
        <v>16.211387682124641</v>
      </c>
      <c r="O116" s="111">
        <f t="shared" ca="1" si="55"/>
        <v>16.507957647240012</v>
      </c>
      <c r="P116" s="111">
        <f t="shared" ca="1" si="55"/>
        <v>16.796819418300394</v>
      </c>
      <c r="Q116" s="111">
        <f t="shared" ca="1" si="55"/>
        <v>17.077972995305799</v>
      </c>
    </row>
    <row r="117" spans="1:17" x14ac:dyDescent="0.3">
      <c r="A117" s="3" t="str">
        <f>INDEX(Mapping!$Y:$Y,MATCH(B117,Mapping!$W:$W,0))</f>
        <v>Rural</v>
      </c>
      <c r="B117" t="s">
        <v>142</v>
      </c>
      <c r="C117" s="111">
        <f ca="1">SUMIFS(OFFSET(CONSOLIDATED!$H$6:$H$84,0,MATCH(C$62,CONSOLIDATED!$H$2:$V$2,0)-1),CONSOLIDATED!$A$6:$A$84,$B117)</f>
        <v>1.5999999999999999</v>
      </c>
      <c r="D117" s="111">
        <f t="shared" ref="D117:Q117" ca="1" si="56">IF($A117="Rural",$C117,C117*(1+D$149))</f>
        <v>1.5999999999999999</v>
      </c>
      <c r="E117" s="111">
        <f t="shared" ca="1" si="56"/>
        <v>1.5999999999999999</v>
      </c>
      <c r="F117" s="111">
        <f t="shared" ca="1" si="56"/>
        <v>1.5999999999999999</v>
      </c>
      <c r="G117" s="111">
        <f t="shared" ca="1" si="56"/>
        <v>1.5999999999999999</v>
      </c>
      <c r="H117" s="111">
        <f t="shared" ca="1" si="56"/>
        <v>1.5999999999999999</v>
      </c>
      <c r="I117" s="111">
        <f t="shared" ca="1" si="56"/>
        <v>1.5999999999999999</v>
      </c>
      <c r="J117" s="111">
        <f t="shared" ca="1" si="56"/>
        <v>1.5999999999999999</v>
      </c>
      <c r="K117" s="111">
        <f t="shared" ca="1" si="56"/>
        <v>1.5999999999999999</v>
      </c>
      <c r="L117" s="111">
        <f t="shared" ca="1" si="56"/>
        <v>1.5999999999999999</v>
      </c>
      <c r="M117" s="111">
        <f t="shared" ca="1" si="56"/>
        <v>1.5999999999999999</v>
      </c>
      <c r="N117" s="111">
        <f t="shared" ca="1" si="56"/>
        <v>1.5999999999999999</v>
      </c>
      <c r="O117" s="111">
        <f t="shared" ca="1" si="56"/>
        <v>1.5999999999999999</v>
      </c>
      <c r="P117" s="111">
        <f t="shared" ca="1" si="56"/>
        <v>1.5999999999999999</v>
      </c>
      <c r="Q117" s="111">
        <f t="shared" ca="1" si="56"/>
        <v>1.5999999999999999</v>
      </c>
    </row>
    <row r="118" spans="1:17" x14ac:dyDescent="0.3">
      <c r="A118" s="3" t="str">
        <f>INDEX(Mapping!$Y:$Y,MATCH(B118,Mapping!$W:$W,0))</f>
        <v>Rural</v>
      </c>
      <c r="B118" t="s">
        <v>180</v>
      </c>
      <c r="C118" s="111">
        <f ca="1">SUMIFS(OFFSET(CONSOLIDATED!$H$6:$H$84,0,MATCH(C$62,CONSOLIDATED!$H$2:$V$2,0)-1),CONSOLIDATED!$A$6:$A$84,$B118)</f>
        <v>1.7999999999999998</v>
      </c>
      <c r="D118" s="111">
        <f t="shared" ref="D118:Q118" ca="1" si="57">IF($A118="Rural",$C118,C118*(1+D$149))</f>
        <v>1.7999999999999998</v>
      </c>
      <c r="E118" s="111">
        <f t="shared" ca="1" si="57"/>
        <v>1.7999999999999998</v>
      </c>
      <c r="F118" s="111">
        <f t="shared" ca="1" si="57"/>
        <v>1.7999999999999998</v>
      </c>
      <c r="G118" s="111">
        <f t="shared" ca="1" si="57"/>
        <v>1.7999999999999998</v>
      </c>
      <c r="H118" s="111">
        <f t="shared" ca="1" si="57"/>
        <v>1.7999999999999998</v>
      </c>
      <c r="I118" s="111">
        <f t="shared" ca="1" si="57"/>
        <v>1.7999999999999998</v>
      </c>
      <c r="J118" s="111">
        <f t="shared" ca="1" si="57"/>
        <v>1.7999999999999998</v>
      </c>
      <c r="K118" s="111">
        <f t="shared" ca="1" si="57"/>
        <v>1.7999999999999998</v>
      </c>
      <c r="L118" s="111">
        <f t="shared" ca="1" si="57"/>
        <v>1.7999999999999998</v>
      </c>
      <c r="M118" s="111">
        <f t="shared" ca="1" si="57"/>
        <v>1.7999999999999998</v>
      </c>
      <c r="N118" s="111">
        <f t="shared" ca="1" si="57"/>
        <v>1.7999999999999998</v>
      </c>
      <c r="O118" s="111">
        <f t="shared" ca="1" si="57"/>
        <v>1.7999999999999998</v>
      </c>
      <c r="P118" s="111">
        <f t="shared" ca="1" si="57"/>
        <v>1.7999999999999998</v>
      </c>
      <c r="Q118" s="111">
        <f t="shared" ca="1" si="57"/>
        <v>1.7999999999999998</v>
      </c>
    </row>
    <row r="119" spans="1:17" x14ac:dyDescent="0.3">
      <c r="A119" s="3" t="str">
        <f>INDEX(Mapping!$Y:$Y,MATCH(B119,Mapping!$W:$W,0))</f>
        <v>Rural</v>
      </c>
      <c r="B119" t="s">
        <v>123</v>
      </c>
      <c r="C119" s="111">
        <f ca="1">SUMIFS(OFFSET(CONSOLIDATED!$H$6:$H$84,0,MATCH(C$62,CONSOLIDATED!$H$2:$V$2,0)-1),CONSOLIDATED!$A$6:$A$84,$B119)</f>
        <v>1.2</v>
      </c>
      <c r="D119" s="111">
        <f t="shared" ref="D119:Q119" ca="1" si="58">IF($A119="Rural",$C119,C119*(1+D$149))</f>
        <v>1.2</v>
      </c>
      <c r="E119" s="111">
        <f t="shared" ca="1" si="58"/>
        <v>1.2</v>
      </c>
      <c r="F119" s="111">
        <f t="shared" ca="1" si="58"/>
        <v>1.2</v>
      </c>
      <c r="G119" s="111">
        <f t="shared" ca="1" si="58"/>
        <v>1.2</v>
      </c>
      <c r="H119" s="111">
        <f t="shared" ca="1" si="58"/>
        <v>1.2</v>
      </c>
      <c r="I119" s="111">
        <f t="shared" ca="1" si="58"/>
        <v>1.2</v>
      </c>
      <c r="J119" s="111">
        <f t="shared" ca="1" si="58"/>
        <v>1.2</v>
      </c>
      <c r="K119" s="111">
        <f t="shared" ca="1" si="58"/>
        <v>1.2</v>
      </c>
      <c r="L119" s="111">
        <f t="shared" ca="1" si="58"/>
        <v>1.2</v>
      </c>
      <c r="M119" s="111">
        <f t="shared" ca="1" si="58"/>
        <v>1.2</v>
      </c>
      <c r="N119" s="111">
        <f t="shared" ca="1" si="58"/>
        <v>1.2</v>
      </c>
      <c r="O119" s="111">
        <f t="shared" ca="1" si="58"/>
        <v>1.2</v>
      </c>
      <c r="P119" s="111">
        <f t="shared" ca="1" si="58"/>
        <v>1.2</v>
      </c>
      <c r="Q119" s="111">
        <f t="shared" ca="1" si="58"/>
        <v>1.2</v>
      </c>
    </row>
    <row r="120" spans="1:17" x14ac:dyDescent="0.3">
      <c r="A120" s="3" t="str">
        <f>INDEX(Mapping!$Y:$Y,MATCH(B120,Mapping!$W:$W,0))</f>
        <v>Interface</v>
      </c>
      <c r="B120" t="s">
        <v>143</v>
      </c>
      <c r="C120" s="111">
        <f ca="1">SUMIFS(OFFSET(CONSOLIDATED!$H$6:$H$84,0,MATCH(C$62,CONSOLIDATED!$H$2:$V$2,0)-1),CONSOLIDATED!$A$6:$A$84,$B120)</f>
        <v>6.4</v>
      </c>
      <c r="D120" s="111">
        <f t="shared" ref="D120:Q120" ca="1" si="59">IF($A120="Rural",$C120,C120*(1+D$149))</f>
        <v>6.4786753569778632</v>
      </c>
      <c r="E120" s="111">
        <f t="shared" ca="1" si="59"/>
        <v>6.5573507139557279</v>
      </c>
      <c r="F120" s="111">
        <f t="shared" ca="1" si="59"/>
        <v>6.636026070933589</v>
      </c>
      <c r="G120" s="111">
        <f t="shared" ca="1" si="59"/>
        <v>6.7147014279114563</v>
      </c>
      <c r="H120" s="111">
        <f t="shared" ca="1" si="59"/>
        <v>6.8759652435759966</v>
      </c>
      <c r="I120" s="111">
        <f t="shared" ca="1" si="59"/>
        <v>7.0372290592405387</v>
      </c>
      <c r="J120" s="111">
        <f t="shared" ca="1" si="59"/>
        <v>7.1947864555247758</v>
      </c>
      <c r="K120" s="111">
        <f t="shared" ca="1" si="59"/>
        <v>7.3486374324287027</v>
      </c>
      <c r="L120" s="111">
        <f t="shared" ca="1" si="59"/>
        <v>7.4987819899523211</v>
      </c>
      <c r="M120" s="111">
        <f t="shared" ca="1" si="59"/>
        <v>7.6487979674611219</v>
      </c>
      <c r="N120" s="111">
        <f t="shared" ca="1" si="59"/>
        <v>7.7951075255896134</v>
      </c>
      <c r="O120" s="111">
        <f t="shared" ca="1" si="59"/>
        <v>7.9377106643377999</v>
      </c>
      <c r="P120" s="111">
        <f t="shared" ca="1" si="59"/>
        <v>8.076607383705678</v>
      </c>
      <c r="Q120" s="111">
        <f t="shared" ca="1" si="59"/>
        <v>8.2117976836932502</v>
      </c>
    </row>
    <row r="121" spans="1:17" x14ac:dyDescent="0.3">
      <c r="A121" s="3" t="str">
        <f>INDEX(Mapping!$Y:$Y,MATCH(B121,Mapping!$W:$W,0))</f>
        <v>Rural</v>
      </c>
      <c r="B121" t="s">
        <v>181</v>
      </c>
      <c r="C121" s="111">
        <f ca="1">SUMIFS(OFFSET(CONSOLIDATED!$H$6:$H$84,0,MATCH(C$62,CONSOLIDATED!$H$2:$V$2,0)-1),CONSOLIDATED!$A$6:$A$84,$B121)</f>
        <v>1.5</v>
      </c>
      <c r="D121" s="111">
        <f t="shared" ref="D121:Q121" ca="1" si="60">IF($A121="Rural",$C121,C121*(1+D$149))</f>
        <v>1.5</v>
      </c>
      <c r="E121" s="111">
        <f t="shared" ca="1" si="60"/>
        <v>1.5</v>
      </c>
      <c r="F121" s="111">
        <f t="shared" ca="1" si="60"/>
        <v>1.5</v>
      </c>
      <c r="G121" s="111">
        <f t="shared" ca="1" si="60"/>
        <v>1.5</v>
      </c>
      <c r="H121" s="111">
        <f t="shared" ca="1" si="60"/>
        <v>1.5</v>
      </c>
      <c r="I121" s="111">
        <f t="shared" ca="1" si="60"/>
        <v>1.5</v>
      </c>
      <c r="J121" s="111">
        <f t="shared" ca="1" si="60"/>
        <v>1.5</v>
      </c>
      <c r="K121" s="111">
        <f t="shared" ca="1" si="60"/>
        <v>1.5</v>
      </c>
      <c r="L121" s="111">
        <f t="shared" ca="1" si="60"/>
        <v>1.5</v>
      </c>
      <c r="M121" s="111">
        <f t="shared" ca="1" si="60"/>
        <v>1.5</v>
      </c>
      <c r="N121" s="111">
        <f t="shared" ca="1" si="60"/>
        <v>1.5</v>
      </c>
      <c r="O121" s="111">
        <f t="shared" ca="1" si="60"/>
        <v>1.5</v>
      </c>
      <c r="P121" s="111">
        <f t="shared" ca="1" si="60"/>
        <v>1.5</v>
      </c>
      <c r="Q121" s="111">
        <f t="shared" ca="1" si="60"/>
        <v>1.5</v>
      </c>
    </row>
    <row r="122" spans="1:17" x14ac:dyDescent="0.3">
      <c r="A122" s="3" t="str">
        <f>INDEX(Mapping!$Y:$Y,MATCH(B122,Mapping!$W:$W,0))</f>
        <v>Metro</v>
      </c>
      <c r="B122" t="s">
        <v>159</v>
      </c>
      <c r="C122" s="111">
        <f ca="1">SUMIFS(OFFSET(CONSOLIDATED!$H$6:$H$84,0,MATCH(C$62,CONSOLIDATED!$H$2:$V$2,0)-1),CONSOLIDATED!$A$6:$A$84,$B122)</f>
        <v>11.3</v>
      </c>
      <c r="D122" s="111">
        <f t="shared" ref="D122:Q122" ca="1" si="61">IF($A122="Rural",$C122,C122*(1+D$149))</f>
        <v>11.438911177164039</v>
      </c>
      <c r="E122" s="111">
        <f t="shared" ca="1" si="61"/>
        <v>11.577822354328081</v>
      </c>
      <c r="F122" s="111">
        <f t="shared" ca="1" si="61"/>
        <v>11.716733531492117</v>
      </c>
      <c r="G122" s="111">
        <f t="shared" ca="1" si="61"/>
        <v>11.855644708656165</v>
      </c>
      <c r="H122" s="111">
        <f t="shared" ca="1" si="61"/>
        <v>12.140376133188868</v>
      </c>
      <c r="I122" s="111">
        <f t="shared" ca="1" si="61"/>
        <v>12.425107557721574</v>
      </c>
      <c r="J122" s="111">
        <f t="shared" ca="1" si="61"/>
        <v>12.70329483553593</v>
      </c>
      <c r="K122" s="111">
        <f t="shared" ca="1" si="61"/>
        <v>12.974937966631925</v>
      </c>
      <c r="L122" s="111">
        <f t="shared" ca="1" si="61"/>
        <v>13.240036951009564</v>
      </c>
      <c r="M122" s="111">
        <f t="shared" ca="1" si="61"/>
        <v>13.504908911298541</v>
      </c>
      <c r="N122" s="111">
        <f t="shared" ca="1" si="61"/>
        <v>13.763236724869158</v>
      </c>
      <c r="O122" s="111">
        <f t="shared" ca="1" si="61"/>
        <v>14.015020391721425</v>
      </c>
      <c r="P122" s="111">
        <f t="shared" ca="1" si="61"/>
        <v>14.260259911855336</v>
      </c>
      <c r="Q122" s="111">
        <f t="shared" ca="1" si="61"/>
        <v>14.498955285270894</v>
      </c>
    </row>
    <row r="123" spans="1:17" x14ac:dyDescent="0.3">
      <c r="A123" s="3" t="str">
        <f>INDEX(Mapping!$Y:$Y,MATCH(B123,Mapping!$W:$W,0))</f>
        <v>Rural</v>
      </c>
      <c r="B123" t="s">
        <v>182</v>
      </c>
      <c r="C123" s="111">
        <f ca="1">SUMIFS(OFFSET(CONSOLIDATED!$H$6:$H$84,0,MATCH(C$62,CONSOLIDATED!$H$2:$V$2,0)-1),CONSOLIDATED!$A$6:$A$84,$B123)</f>
        <v>1</v>
      </c>
      <c r="D123" s="111">
        <f t="shared" ref="D123:Q123" ca="1" si="62">IF($A123="Rural",$C123,C123*(1+D$149))</f>
        <v>1</v>
      </c>
      <c r="E123" s="111">
        <f t="shared" ca="1" si="62"/>
        <v>1</v>
      </c>
      <c r="F123" s="111">
        <f t="shared" ca="1" si="62"/>
        <v>1</v>
      </c>
      <c r="G123" s="111">
        <f t="shared" ca="1" si="62"/>
        <v>1</v>
      </c>
      <c r="H123" s="111">
        <f t="shared" ca="1" si="62"/>
        <v>1</v>
      </c>
      <c r="I123" s="111">
        <f t="shared" ca="1" si="62"/>
        <v>1</v>
      </c>
      <c r="J123" s="111">
        <f t="shared" ca="1" si="62"/>
        <v>1</v>
      </c>
      <c r="K123" s="111">
        <f t="shared" ca="1" si="62"/>
        <v>1</v>
      </c>
      <c r="L123" s="111">
        <f t="shared" ca="1" si="62"/>
        <v>1</v>
      </c>
      <c r="M123" s="111">
        <f t="shared" ca="1" si="62"/>
        <v>1</v>
      </c>
      <c r="N123" s="111">
        <f t="shared" ca="1" si="62"/>
        <v>1</v>
      </c>
      <c r="O123" s="111">
        <f t="shared" ca="1" si="62"/>
        <v>1</v>
      </c>
      <c r="P123" s="111">
        <f t="shared" ca="1" si="62"/>
        <v>1</v>
      </c>
      <c r="Q123" s="111">
        <f t="shared" ca="1" si="62"/>
        <v>1</v>
      </c>
    </row>
    <row r="124" spans="1:17" x14ac:dyDescent="0.3">
      <c r="A124" s="3" t="str">
        <f>INDEX(Mapping!$Y:$Y,MATCH(B124,Mapping!$W:$W,0))</f>
        <v>Rural</v>
      </c>
      <c r="B124" t="s">
        <v>183</v>
      </c>
      <c r="C124" s="111">
        <f ca="1">SUMIFS(OFFSET(CONSOLIDATED!$H$6:$H$84,0,MATCH(C$62,CONSOLIDATED!$H$2:$V$2,0)-1),CONSOLIDATED!$A$6:$A$84,$B124)</f>
        <v>0.2</v>
      </c>
      <c r="D124" s="111">
        <f t="shared" ref="D124:Q124" ca="1" si="63">IF($A124="Rural",$C124,C124*(1+D$149))</f>
        <v>0.2</v>
      </c>
      <c r="E124" s="111">
        <f t="shared" ca="1" si="63"/>
        <v>0.2</v>
      </c>
      <c r="F124" s="111">
        <f t="shared" ca="1" si="63"/>
        <v>0.2</v>
      </c>
      <c r="G124" s="111">
        <f t="shared" ca="1" si="63"/>
        <v>0.2</v>
      </c>
      <c r="H124" s="111">
        <f t="shared" ca="1" si="63"/>
        <v>0.2</v>
      </c>
      <c r="I124" s="111">
        <f t="shared" ca="1" si="63"/>
        <v>0.2</v>
      </c>
      <c r="J124" s="111">
        <f t="shared" ca="1" si="63"/>
        <v>0.2</v>
      </c>
      <c r="K124" s="111">
        <f t="shared" ca="1" si="63"/>
        <v>0.2</v>
      </c>
      <c r="L124" s="111">
        <f t="shared" ca="1" si="63"/>
        <v>0.2</v>
      </c>
      <c r="M124" s="111">
        <f t="shared" ca="1" si="63"/>
        <v>0.2</v>
      </c>
      <c r="N124" s="111">
        <f t="shared" ca="1" si="63"/>
        <v>0.2</v>
      </c>
      <c r="O124" s="111">
        <f t="shared" ca="1" si="63"/>
        <v>0.2</v>
      </c>
      <c r="P124" s="111">
        <f t="shared" ca="1" si="63"/>
        <v>0.2</v>
      </c>
      <c r="Q124" s="111">
        <f t="shared" ca="1" si="63"/>
        <v>0.2</v>
      </c>
    </row>
    <row r="125" spans="1:17" x14ac:dyDescent="0.3">
      <c r="A125" s="3" t="str">
        <f>INDEX(Mapping!$Y:$Y,MATCH(B125,Mapping!$W:$W,0))</f>
        <v>Rural</v>
      </c>
      <c r="B125" t="s">
        <v>160</v>
      </c>
      <c r="C125" s="111">
        <f ca="1">SUMIFS(OFFSET(CONSOLIDATED!$H$6:$H$84,0,MATCH(C$62,CONSOLIDATED!$H$2:$V$2,0)-1),CONSOLIDATED!$A$6:$A$84,$B125)</f>
        <v>2.8</v>
      </c>
      <c r="D125" s="111">
        <f t="shared" ref="D125:Q125" ca="1" si="64">IF($A125="Rural",$C125,C125*(1+D$149))</f>
        <v>2.8</v>
      </c>
      <c r="E125" s="111">
        <f t="shared" ca="1" si="64"/>
        <v>2.8</v>
      </c>
      <c r="F125" s="111">
        <f t="shared" ca="1" si="64"/>
        <v>2.8</v>
      </c>
      <c r="G125" s="111">
        <f t="shared" ca="1" si="64"/>
        <v>2.8</v>
      </c>
      <c r="H125" s="111">
        <f t="shared" ca="1" si="64"/>
        <v>2.8</v>
      </c>
      <c r="I125" s="111">
        <f t="shared" ca="1" si="64"/>
        <v>2.8</v>
      </c>
      <c r="J125" s="111">
        <f t="shared" ca="1" si="64"/>
        <v>2.8</v>
      </c>
      <c r="K125" s="111">
        <f t="shared" ca="1" si="64"/>
        <v>2.8</v>
      </c>
      <c r="L125" s="111">
        <f t="shared" ca="1" si="64"/>
        <v>2.8</v>
      </c>
      <c r="M125" s="111">
        <f t="shared" ca="1" si="64"/>
        <v>2.8</v>
      </c>
      <c r="N125" s="111">
        <f t="shared" ca="1" si="64"/>
        <v>2.8</v>
      </c>
      <c r="O125" s="111">
        <f t="shared" ca="1" si="64"/>
        <v>2.8</v>
      </c>
      <c r="P125" s="111">
        <f t="shared" ca="1" si="64"/>
        <v>2.8</v>
      </c>
      <c r="Q125" s="111">
        <f t="shared" ca="1" si="64"/>
        <v>2.8</v>
      </c>
    </row>
    <row r="126" spans="1:17" x14ac:dyDescent="0.3">
      <c r="A126" s="3" t="str">
        <f>INDEX(Mapping!$Y:$Y,MATCH(B126,Mapping!$W:$W,0))</f>
        <v>Rural</v>
      </c>
      <c r="B126" t="s">
        <v>184</v>
      </c>
      <c r="C126" s="111">
        <f ca="1">SUMIFS(OFFSET(CONSOLIDATED!$H$6:$H$84,0,MATCH(C$62,CONSOLIDATED!$H$2:$V$2,0)-1),CONSOLIDATED!$A$6:$A$84,$B126)</f>
        <v>1.2</v>
      </c>
      <c r="D126" s="111">
        <f t="shared" ref="D126:Q126" ca="1" si="65">IF($A126="Rural",$C126,C126*(1+D$149))</f>
        <v>1.2</v>
      </c>
      <c r="E126" s="111">
        <f t="shared" ca="1" si="65"/>
        <v>1.2</v>
      </c>
      <c r="F126" s="111">
        <f t="shared" ca="1" si="65"/>
        <v>1.2</v>
      </c>
      <c r="G126" s="111">
        <f t="shared" ca="1" si="65"/>
        <v>1.2</v>
      </c>
      <c r="H126" s="111">
        <f t="shared" ca="1" si="65"/>
        <v>1.2</v>
      </c>
      <c r="I126" s="111">
        <f t="shared" ca="1" si="65"/>
        <v>1.2</v>
      </c>
      <c r="J126" s="111">
        <f t="shared" ca="1" si="65"/>
        <v>1.2</v>
      </c>
      <c r="K126" s="111">
        <f t="shared" ca="1" si="65"/>
        <v>1.2</v>
      </c>
      <c r="L126" s="111">
        <f t="shared" ca="1" si="65"/>
        <v>1.2</v>
      </c>
      <c r="M126" s="111">
        <f t="shared" ca="1" si="65"/>
        <v>1.2</v>
      </c>
      <c r="N126" s="111">
        <f t="shared" ca="1" si="65"/>
        <v>1.2</v>
      </c>
      <c r="O126" s="111">
        <f t="shared" ca="1" si="65"/>
        <v>1.2</v>
      </c>
      <c r="P126" s="111">
        <f t="shared" ca="1" si="65"/>
        <v>1.2</v>
      </c>
      <c r="Q126" s="111">
        <f t="shared" ca="1" si="65"/>
        <v>1.2</v>
      </c>
    </row>
    <row r="127" spans="1:17" x14ac:dyDescent="0.3">
      <c r="A127" s="3" t="str">
        <f>INDEX(Mapping!$Y:$Y,MATCH(B127,Mapping!$W:$W,0))</f>
        <v>Metro</v>
      </c>
      <c r="B127" t="s">
        <v>161</v>
      </c>
      <c r="C127" s="111">
        <f ca="1">SUMIFS(OFFSET(CONSOLIDATED!$H$6:$H$84,0,MATCH(C$62,CONSOLIDATED!$H$2:$V$2,0)-1),CONSOLIDATED!$A$6:$A$84,$B127)</f>
        <v>9.1</v>
      </c>
      <c r="D127" s="111">
        <f t="shared" ref="D127:Q127" ca="1" si="66">IF($A127="Rural",$C127,C127*(1+D$149))</f>
        <v>9.2118665232028984</v>
      </c>
      <c r="E127" s="111">
        <f t="shared" ca="1" si="66"/>
        <v>9.323733046405799</v>
      </c>
      <c r="F127" s="111">
        <f t="shared" ca="1" si="66"/>
        <v>9.4355995696086943</v>
      </c>
      <c r="G127" s="111">
        <f t="shared" ca="1" si="66"/>
        <v>9.5474660928116002</v>
      </c>
      <c r="H127" s="111">
        <f t="shared" ca="1" si="66"/>
        <v>9.7767630807096175</v>
      </c>
      <c r="I127" s="111">
        <f t="shared" ca="1" si="66"/>
        <v>10.006060068607638</v>
      </c>
      <c r="J127" s="111">
        <f t="shared" ca="1" si="66"/>
        <v>10.230086991449287</v>
      </c>
      <c r="K127" s="111">
        <f t="shared" ca="1" si="66"/>
        <v>10.448843849234558</v>
      </c>
      <c r="L127" s="111">
        <f t="shared" ca="1" si="66"/>
        <v>10.662330641963454</v>
      </c>
      <c r="M127" s="111">
        <f t="shared" ca="1" si="66"/>
        <v>10.875634609983781</v>
      </c>
      <c r="N127" s="111">
        <f t="shared" ca="1" si="66"/>
        <v>11.083668512947728</v>
      </c>
      <c r="O127" s="111">
        <f t="shared" ca="1" si="66"/>
        <v>11.286432350855307</v>
      </c>
      <c r="P127" s="111">
        <f t="shared" ca="1" si="66"/>
        <v>11.483926123706508</v>
      </c>
      <c r="Q127" s="111">
        <f t="shared" ca="1" si="66"/>
        <v>11.676149831501339</v>
      </c>
    </row>
    <row r="128" spans="1:17" x14ac:dyDescent="0.3">
      <c r="A128" s="3" t="str">
        <f>INDEX(Mapping!$Y:$Y,MATCH(B128,Mapping!$W:$W,0))</f>
        <v>Rural</v>
      </c>
      <c r="B128" t="s">
        <v>124</v>
      </c>
      <c r="C128" s="111">
        <f ca="1">SUMIFS(OFFSET(CONSOLIDATED!$H$6:$H$84,0,MATCH(C$62,CONSOLIDATED!$H$2:$V$2,0)-1),CONSOLIDATED!$A$6:$A$84,$B128)</f>
        <v>1</v>
      </c>
      <c r="D128" s="111">
        <f t="shared" ref="D128:Q128" ca="1" si="67">IF($A128="Rural",$C128,C128*(1+D$149))</f>
        <v>1</v>
      </c>
      <c r="E128" s="111">
        <f t="shared" ca="1" si="67"/>
        <v>1</v>
      </c>
      <c r="F128" s="111">
        <f t="shared" ca="1" si="67"/>
        <v>1</v>
      </c>
      <c r="G128" s="111">
        <f t="shared" ca="1" si="67"/>
        <v>1</v>
      </c>
      <c r="H128" s="111">
        <f t="shared" ca="1" si="67"/>
        <v>1</v>
      </c>
      <c r="I128" s="111">
        <f t="shared" ca="1" si="67"/>
        <v>1</v>
      </c>
      <c r="J128" s="111">
        <f t="shared" ca="1" si="67"/>
        <v>1</v>
      </c>
      <c r="K128" s="111">
        <f t="shared" ca="1" si="67"/>
        <v>1</v>
      </c>
      <c r="L128" s="111">
        <f t="shared" ca="1" si="67"/>
        <v>1</v>
      </c>
      <c r="M128" s="111">
        <f t="shared" ca="1" si="67"/>
        <v>1</v>
      </c>
      <c r="N128" s="111">
        <f t="shared" ca="1" si="67"/>
        <v>1</v>
      </c>
      <c r="O128" s="111">
        <f t="shared" ca="1" si="67"/>
        <v>1</v>
      </c>
      <c r="P128" s="111">
        <f t="shared" ca="1" si="67"/>
        <v>1</v>
      </c>
      <c r="Q128" s="111">
        <f t="shared" ca="1" si="67"/>
        <v>1</v>
      </c>
    </row>
    <row r="129" spans="1:17" x14ac:dyDescent="0.3">
      <c r="A129" s="3" t="str">
        <f>INDEX(Mapping!$Y:$Y,MATCH(B129,Mapping!$W:$W,0))</f>
        <v>Rural</v>
      </c>
      <c r="B129" t="s">
        <v>185</v>
      </c>
      <c r="C129" s="111">
        <f ca="1">SUMIFS(OFFSET(CONSOLIDATED!$H$6:$H$84,0,MATCH(C$62,CONSOLIDATED!$H$2:$V$2,0)-1),CONSOLIDATED!$A$6:$A$84,$B129)</f>
        <v>2.6</v>
      </c>
      <c r="D129" s="111">
        <f t="shared" ref="D129:Q129" ca="1" si="68">IF($A129="Rural",$C129,C129*(1+D$149))</f>
        <v>2.6</v>
      </c>
      <c r="E129" s="111">
        <f t="shared" ca="1" si="68"/>
        <v>2.6</v>
      </c>
      <c r="F129" s="111">
        <f t="shared" ca="1" si="68"/>
        <v>2.6</v>
      </c>
      <c r="G129" s="111">
        <f t="shared" ca="1" si="68"/>
        <v>2.6</v>
      </c>
      <c r="H129" s="111">
        <f t="shared" ca="1" si="68"/>
        <v>2.6</v>
      </c>
      <c r="I129" s="111">
        <f t="shared" ca="1" si="68"/>
        <v>2.6</v>
      </c>
      <c r="J129" s="111">
        <f t="shared" ca="1" si="68"/>
        <v>2.6</v>
      </c>
      <c r="K129" s="111">
        <f t="shared" ca="1" si="68"/>
        <v>2.6</v>
      </c>
      <c r="L129" s="111">
        <f t="shared" ca="1" si="68"/>
        <v>2.6</v>
      </c>
      <c r="M129" s="111">
        <f t="shared" ca="1" si="68"/>
        <v>2.6</v>
      </c>
      <c r="N129" s="111">
        <f t="shared" ca="1" si="68"/>
        <v>2.6</v>
      </c>
      <c r="O129" s="111">
        <f t="shared" ca="1" si="68"/>
        <v>2.6</v>
      </c>
      <c r="P129" s="111">
        <f t="shared" ca="1" si="68"/>
        <v>2.6</v>
      </c>
      <c r="Q129" s="111">
        <f t="shared" ca="1" si="68"/>
        <v>2.6</v>
      </c>
    </row>
    <row r="130" spans="1:17" x14ac:dyDescent="0.3">
      <c r="A130" s="3" t="str">
        <f>INDEX(Mapping!$Y:$Y,MATCH(B130,Mapping!$W:$W,0))</f>
        <v>Rural</v>
      </c>
      <c r="B130" t="s">
        <v>144</v>
      </c>
      <c r="C130" s="111">
        <f ca="1">SUMIFS(OFFSET(CONSOLIDATED!$H$6:$H$84,0,MATCH(C$62,CONSOLIDATED!$H$2:$V$2,0)-1),CONSOLIDATED!$A$6:$A$84,$B130)</f>
        <v>3.4</v>
      </c>
      <c r="D130" s="111">
        <f t="shared" ref="D130:Q130" ca="1" si="69">IF($A130="Rural",$C130,C130*(1+D$149))</f>
        <v>3.4</v>
      </c>
      <c r="E130" s="111">
        <f t="shared" ca="1" si="69"/>
        <v>3.4</v>
      </c>
      <c r="F130" s="111">
        <f t="shared" ca="1" si="69"/>
        <v>3.4</v>
      </c>
      <c r="G130" s="111">
        <f t="shared" ca="1" si="69"/>
        <v>3.4</v>
      </c>
      <c r="H130" s="111">
        <f t="shared" ca="1" si="69"/>
        <v>3.4</v>
      </c>
      <c r="I130" s="111">
        <f t="shared" ca="1" si="69"/>
        <v>3.4</v>
      </c>
      <c r="J130" s="111">
        <f t="shared" ca="1" si="69"/>
        <v>3.4</v>
      </c>
      <c r="K130" s="111">
        <f t="shared" ca="1" si="69"/>
        <v>3.4</v>
      </c>
      <c r="L130" s="111">
        <f t="shared" ca="1" si="69"/>
        <v>3.4</v>
      </c>
      <c r="M130" s="111">
        <f t="shared" ca="1" si="69"/>
        <v>3.4</v>
      </c>
      <c r="N130" s="111">
        <f t="shared" ca="1" si="69"/>
        <v>3.4</v>
      </c>
      <c r="O130" s="111">
        <f t="shared" ca="1" si="69"/>
        <v>3.4</v>
      </c>
      <c r="P130" s="111">
        <f t="shared" ca="1" si="69"/>
        <v>3.4</v>
      </c>
      <c r="Q130" s="111">
        <f t="shared" ca="1" si="69"/>
        <v>3.4</v>
      </c>
    </row>
    <row r="131" spans="1:17" x14ac:dyDescent="0.3">
      <c r="A131" s="3" t="str">
        <f>INDEX(Mapping!$Y:$Y,MATCH(B131,Mapping!$W:$W,0))</f>
        <v>Rural</v>
      </c>
      <c r="B131" t="s">
        <v>125</v>
      </c>
      <c r="C131" s="111">
        <f ca="1">SUMIFS(OFFSET(CONSOLIDATED!$H$6:$H$84,0,MATCH(C$62,CONSOLIDATED!$H$2:$V$2,0)-1),CONSOLIDATED!$A$6:$A$84,$B131)</f>
        <v>0.8</v>
      </c>
      <c r="D131" s="111">
        <f t="shared" ref="D131:Q131" ca="1" si="70">IF($A131="Rural",$C131,C131*(1+D$149))</f>
        <v>0.8</v>
      </c>
      <c r="E131" s="111">
        <f t="shared" ca="1" si="70"/>
        <v>0.8</v>
      </c>
      <c r="F131" s="111">
        <f t="shared" ca="1" si="70"/>
        <v>0.8</v>
      </c>
      <c r="G131" s="111">
        <f t="shared" ca="1" si="70"/>
        <v>0.8</v>
      </c>
      <c r="H131" s="111">
        <f t="shared" ca="1" si="70"/>
        <v>0.8</v>
      </c>
      <c r="I131" s="111">
        <f t="shared" ca="1" si="70"/>
        <v>0.8</v>
      </c>
      <c r="J131" s="111">
        <f t="shared" ca="1" si="70"/>
        <v>0.8</v>
      </c>
      <c r="K131" s="111">
        <f t="shared" ca="1" si="70"/>
        <v>0.8</v>
      </c>
      <c r="L131" s="111">
        <f t="shared" ca="1" si="70"/>
        <v>0.8</v>
      </c>
      <c r="M131" s="111">
        <f t="shared" ca="1" si="70"/>
        <v>0.8</v>
      </c>
      <c r="N131" s="111">
        <f t="shared" ca="1" si="70"/>
        <v>0.8</v>
      </c>
      <c r="O131" s="111">
        <f t="shared" ca="1" si="70"/>
        <v>0.8</v>
      </c>
      <c r="P131" s="111">
        <f t="shared" ca="1" si="70"/>
        <v>0.8</v>
      </c>
      <c r="Q131" s="111">
        <f t="shared" ca="1" si="70"/>
        <v>0.8</v>
      </c>
    </row>
    <row r="132" spans="1:17" x14ac:dyDescent="0.3">
      <c r="A132" s="3" t="str">
        <f>INDEX(Mapping!$Y:$Y,MATCH(B132,Mapping!$W:$W,0))</f>
        <v>Rural</v>
      </c>
      <c r="B132" t="s">
        <v>126</v>
      </c>
      <c r="C132" s="111">
        <f ca="1">SUMIFS(OFFSET(CONSOLIDATED!$H$6:$H$84,0,MATCH(C$62,CONSOLIDATED!$H$2:$V$2,0)-1),CONSOLIDATED!$A$6:$A$84,$B132)</f>
        <v>2.75</v>
      </c>
      <c r="D132" s="111">
        <f t="shared" ref="D132:Q132" ca="1" si="71">IF($A132="Rural",$C132,C132*(1+D$149))</f>
        <v>2.75</v>
      </c>
      <c r="E132" s="111">
        <f t="shared" ca="1" si="71"/>
        <v>2.75</v>
      </c>
      <c r="F132" s="111">
        <f t="shared" ca="1" si="71"/>
        <v>2.75</v>
      </c>
      <c r="G132" s="111">
        <f t="shared" ca="1" si="71"/>
        <v>2.75</v>
      </c>
      <c r="H132" s="111">
        <f t="shared" ca="1" si="71"/>
        <v>2.75</v>
      </c>
      <c r="I132" s="111">
        <f t="shared" ca="1" si="71"/>
        <v>2.75</v>
      </c>
      <c r="J132" s="111">
        <f t="shared" ca="1" si="71"/>
        <v>2.75</v>
      </c>
      <c r="K132" s="111">
        <f t="shared" ca="1" si="71"/>
        <v>2.75</v>
      </c>
      <c r="L132" s="111">
        <f t="shared" ca="1" si="71"/>
        <v>2.75</v>
      </c>
      <c r="M132" s="111">
        <f t="shared" ca="1" si="71"/>
        <v>2.75</v>
      </c>
      <c r="N132" s="111">
        <f t="shared" ca="1" si="71"/>
        <v>2.75</v>
      </c>
      <c r="O132" s="111">
        <f t="shared" ca="1" si="71"/>
        <v>2.75</v>
      </c>
      <c r="P132" s="111">
        <f t="shared" ca="1" si="71"/>
        <v>2.75</v>
      </c>
      <c r="Q132" s="111">
        <f t="shared" ca="1" si="71"/>
        <v>2.75</v>
      </c>
    </row>
    <row r="133" spans="1:17" x14ac:dyDescent="0.3">
      <c r="A133" s="3" t="str">
        <f>INDEX(Mapping!$Y:$Y,MATCH(B133,Mapping!$W:$W,0))</f>
        <v>Rural</v>
      </c>
      <c r="B133" t="s">
        <v>186</v>
      </c>
      <c r="C133" s="111">
        <f ca="1">SUMIFS(OFFSET(CONSOLIDATED!$H$6:$H$84,0,MATCH(C$62,CONSOLIDATED!$H$2:$V$2,0)-1),CONSOLIDATED!$A$6:$A$84,$B133)</f>
        <v>3.1999999999999997</v>
      </c>
      <c r="D133" s="111">
        <f t="shared" ref="D133:Q133" ca="1" si="72">IF($A133="Rural",$C133,C133*(1+D$149))</f>
        <v>3.1999999999999997</v>
      </c>
      <c r="E133" s="111">
        <f t="shared" ca="1" si="72"/>
        <v>3.1999999999999997</v>
      </c>
      <c r="F133" s="111">
        <f t="shared" ca="1" si="72"/>
        <v>3.1999999999999997</v>
      </c>
      <c r="G133" s="111">
        <f t="shared" ca="1" si="72"/>
        <v>3.1999999999999997</v>
      </c>
      <c r="H133" s="111">
        <f t="shared" ca="1" si="72"/>
        <v>3.1999999999999997</v>
      </c>
      <c r="I133" s="111">
        <f t="shared" ca="1" si="72"/>
        <v>3.1999999999999997</v>
      </c>
      <c r="J133" s="111">
        <f t="shared" ca="1" si="72"/>
        <v>3.1999999999999997</v>
      </c>
      <c r="K133" s="111">
        <f t="shared" ca="1" si="72"/>
        <v>3.1999999999999997</v>
      </c>
      <c r="L133" s="111">
        <f t="shared" ca="1" si="72"/>
        <v>3.1999999999999997</v>
      </c>
      <c r="M133" s="111">
        <f t="shared" ca="1" si="72"/>
        <v>3.1999999999999997</v>
      </c>
      <c r="N133" s="111">
        <f t="shared" ca="1" si="72"/>
        <v>3.1999999999999997</v>
      </c>
      <c r="O133" s="111">
        <f t="shared" ca="1" si="72"/>
        <v>3.1999999999999997</v>
      </c>
      <c r="P133" s="111">
        <f t="shared" ca="1" si="72"/>
        <v>3.1999999999999997</v>
      </c>
      <c r="Q133" s="111">
        <f t="shared" ca="1" si="72"/>
        <v>3.1999999999999997</v>
      </c>
    </row>
    <row r="134" spans="1:17" x14ac:dyDescent="0.3">
      <c r="A134" s="3" t="str">
        <f>INDEX(Mapping!$Y:$Y,MATCH(B134,Mapping!$W:$W,0))</f>
        <v>Rural</v>
      </c>
      <c r="B134" t="s">
        <v>162</v>
      </c>
      <c r="C134" s="111">
        <f ca="1">SUMIFS(OFFSET(CONSOLIDATED!$H$6:$H$84,0,MATCH(C$62,CONSOLIDATED!$H$2:$V$2,0)-1),CONSOLIDATED!$A$6:$A$84,$B134)</f>
        <v>4.25</v>
      </c>
      <c r="D134" s="111">
        <f t="shared" ref="D134:Q134" ca="1" si="73">IF($A134="Rural",$C134,C134*(1+D$149))</f>
        <v>4.25</v>
      </c>
      <c r="E134" s="111">
        <f t="shared" ca="1" si="73"/>
        <v>4.25</v>
      </c>
      <c r="F134" s="111">
        <f t="shared" ca="1" si="73"/>
        <v>4.25</v>
      </c>
      <c r="G134" s="111">
        <f t="shared" ca="1" si="73"/>
        <v>4.25</v>
      </c>
      <c r="H134" s="111">
        <f t="shared" ca="1" si="73"/>
        <v>4.25</v>
      </c>
      <c r="I134" s="111">
        <f t="shared" ca="1" si="73"/>
        <v>4.25</v>
      </c>
      <c r="J134" s="111">
        <f t="shared" ca="1" si="73"/>
        <v>4.25</v>
      </c>
      <c r="K134" s="111">
        <f t="shared" ca="1" si="73"/>
        <v>4.25</v>
      </c>
      <c r="L134" s="111">
        <f t="shared" ca="1" si="73"/>
        <v>4.25</v>
      </c>
      <c r="M134" s="111">
        <f t="shared" ca="1" si="73"/>
        <v>4.25</v>
      </c>
      <c r="N134" s="111">
        <f t="shared" ca="1" si="73"/>
        <v>4.25</v>
      </c>
      <c r="O134" s="111">
        <f t="shared" ca="1" si="73"/>
        <v>4.25</v>
      </c>
      <c r="P134" s="111">
        <f t="shared" ca="1" si="73"/>
        <v>4.25</v>
      </c>
      <c r="Q134" s="111">
        <f t="shared" ca="1" si="73"/>
        <v>4.25</v>
      </c>
    </row>
    <row r="135" spans="1:17" x14ac:dyDescent="0.3">
      <c r="A135" s="3" t="str">
        <f>INDEX(Mapping!$Y:$Y,MATCH(B135,Mapping!$W:$W,0))</f>
        <v>Rural</v>
      </c>
      <c r="B135" t="s">
        <v>187</v>
      </c>
      <c r="C135" s="111">
        <f ca="1">SUMIFS(OFFSET(CONSOLIDATED!$H$6:$H$84,0,MATCH(C$62,CONSOLIDATED!$H$2:$V$2,0)-1),CONSOLIDATED!$A$6:$A$84,$B135)</f>
        <v>0.8</v>
      </c>
      <c r="D135" s="111">
        <f t="shared" ref="D135:Q135" ca="1" si="74">IF($A135="Rural",$C135,C135*(1+D$149))</f>
        <v>0.8</v>
      </c>
      <c r="E135" s="111">
        <f t="shared" ca="1" si="74"/>
        <v>0.8</v>
      </c>
      <c r="F135" s="111">
        <f t="shared" ca="1" si="74"/>
        <v>0.8</v>
      </c>
      <c r="G135" s="111">
        <f t="shared" ca="1" si="74"/>
        <v>0.8</v>
      </c>
      <c r="H135" s="111">
        <f t="shared" ca="1" si="74"/>
        <v>0.8</v>
      </c>
      <c r="I135" s="111">
        <f t="shared" ca="1" si="74"/>
        <v>0.8</v>
      </c>
      <c r="J135" s="111">
        <f t="shared" ca="1" si="74"/>
        <v>0.8</v>
      </c>
      <c r="K135" s="111">
        <f t="shared" ca="1" si="74"/>
        <v>0.8</v>
      </c>
      <c r="L135" s="111">
        <f t="shared" ca="1" si="74"/>
        <v>0.8</v>
      </c>
      <c r="M135" s="111">
        <f t="shared" ca="1" si="74"/>
        <v>0.8</v>
      </c>
      <c r="N135" s="111">
        <f t="shared" ca="1" si="74"/>
        <v>0.8</v>
      </c>
      <c r="O135" s="111">
        <f t="shared" ca="1" si="74"/>
        <v>0.8</v>
      </c>
      <c r="P135" s="111">
        <f t="shared" ca="1" si="74"/>
        <v>0.8</v>
      </c>
      <c r="Q135" s="111">
        <f t="shared" ca="1" si="74"/>
        <v>0.8</v>
      </c>
    </row>
    <row r="136" spans="1:17" x14ac:dyDescent="0.3">
      <c r="A136" s="3" t="str">
        <f>INDEX(Mapping!$Y:$Y,MATCH(B136,Mapping!$W:$W,0))</f>
        <v>Metro</v>
      </c>
      <c r="B136" t="s">
        <v>127</v>
      </c>
      <c r="C136" s="111">
        <f ca="1">SUMIFS(OFFSET(CONSOLIDATED!$H$6:$H$84,0,MATCH(C$62,CONSOLIDATED!$H$2:$V$2,0)-1),CONSOLIDATED!$A$6:$A$84,$B136)</f>
        <v>13.6</v>
      </c>
      <c r="D136" s="111">
        <f t="shared" ref="D136:Q136" ca="1" si="75">IF($A136="Rural",$C136,C136*(1+D$149))</f>
        <v>13.767185133577957</v>
      </c>
      <c r="E136" s="111">
        <f t="shared" ca="1" si="75"/>
        <v>13.934370267155918</v>
      </c>
      <c r="F136" s="111">
        <f t="shared" ca="1" si="75"/>
        <v>14.101555400733872</v>
      </c>
      <c r="G136" s="111">
        <f t="shared" ca="1" si="75"/>
        <v>14.26874053431184</v>
      </c>
      <c r="H136" s="111">
        <f t="shared" ca="1" si="75"/>
        <v>14.611426142598988</v>
      </c>
      <c r="I136" s="111">
        <f t="shared" ca="1" si="75"/>
        <v>14.95411175088614</v>
      </c>
      <c r="J136" s="111">
        <f t="shared" ca="1" si="75"/>
        <v>15.288921217990143</v>
      </c>
      <c r="K136" s="111">
        <f t="shared" ca="1" si="75"/>
        <v>15.615854543910988</v>
      </c>
      <c r="L136" s="111">
        <f t="shared" ca="1" si="75"/>
        <v>15.934911728648677</v>
      </c>
      <c r="M136" s="111">
        <f t="shared" ca="1" si="75"/>
        <v>16.253695680854879</v>
      </c>
      <c r="N136" s="111">
        <f t="shared" ca="1" si="75"/>
        <v>16.564603491877921</v>
      </c>
      <c r="O136" s="111">
        <f t="shared" ca="1" si="75"/>
        <v>16.867635161717818</v>
      </c>
      <c r="P136" s="111">
        <f t="shared" ca="1" si="75"/>
        <v>17.16279069037456</v>
      </c>
      <c r="Q136" s="111">
        <f t="shared" ca="1" si="75"/>
        <v>17.450070077848153</v>
      </c>
    </row>
    <row r="137" spans="1:17" x14ac:dyDescent="0.3">
      <c r="A137" s="3" t="str">
        <f>INDEX(Mapping!$Y:$Y,MATCH(B137,Mapping!$W:$W,0))</f>
        <v>Interface</v>
      </c>
      <c r="B137" t="s">
        <v>145</v>
      </c>
      <c r="C137" s="111">
        <f ca="1">SUMIFS(OFFSET(CONSOLIDATED!$H$6:$H$84,0,MATCH(C$62,CONSOLIDATED!$H$2:$V$2,0)-1),CONSOLIDATED!$A$6:$A$84,$B137)</f>
        <v>35.58</v>
      </c>
      <c r="D137" s="111">
        <f t="shared" ref="D137:Q137" ca="1" si="76">IF($A137="Rural",$C137,C137*(1+D$149))</f>
        <v>36.017385812698805</v>
      </c>
      <c r="E137" s="111">
        <f t="shared" ca="1" si="76"/>
        <v>36.454771625397619</v>
      </c>
      <c r="F137" s="111">
        <f t="shared" ca="1" si="76"/>
        <v>36.892157438096412</v>
      </c>
      <c r="G137" s="111">
        <f t="shared" ca="1" si="76"/>
        <v>37.329543250795247</v>
      </c>
      <c r="H137" s="111">
        <f t="shared" ca="1" si="76"/>
        <v>38.226069276005298</v>
      </c>
      <c r="I137" s="111">
        <f t="shared" ca="1" si="76"/>
        <v>39.122595301215355</v>
      </c>
      <c r="J137" s="111">
        <f t="shared" ca="1" si="76"/>
        <v>39.99851595118303</v>
      </c>
      <c r="K137" s="111">
        <f t="shared" ca="1" si="76"/>
        <v>40.853831225908301</v>
      </c>
      <c r="L137" s="111">
        <f t="shared" ca="1" si="76"/>
        <v>41.688541125391168</v>
      </c>
      <c r="M137" s="111">
        <f t="shared" ca="1" si="76"/>
        <v>42.52253620035416</v>
      </c>
      <c r="N137" s="111">
        <f t="shared" ca="1" si="76"/>
        <v>43.335925900074741</v>
      </c>
      <c r="O137" s="111">
        <f t="shared" ca="1" si="76"/>
        <v>44.12871022455294</v>
      </c>
      <c r="P137" s="111">
        <f t="shared" ca="1" si="76"/>
        <v>44.900889173788734</v>
      </c>
      <c r="Q137" s="111">
        <f t="shared" ca="1" si="76"/>
        <v>45.652462747782145</v>
      </c>
    </row>
    <row r="138" spans="1:17" x14ac:dyDescent="0.3">
      <c r="A138" s="3" t="str">
        <f>INDEX(Mapping!$Y:$Y,MATCH(B138,Mapping!$W:$W,0))</f>
        <v>Rural</v>
      </c>
      <c r="B138" t="s">
        <v>128</v>
      </c>
      <c r="C138" s="111">
        <f ca="1">SUMIFS(OFFSET(CONSOLIDATED!$H$6:$H$84,0,MATCH(C$62,CONSOLIDATED!$H$2:$V$2,0)-1),CONSOLIDATED!$A$6:$A$84,$B138)</f>
        <v>5.3999999999999995</v>
      </c>
      <c r="D138" s="111">
        <f t="shared" ref="D138:Q138" ca="1" si="77">IF($A138="Rural",$C138,C138*(1+D$149))</f>
        <v>5.3999999999999995</v>
      </c>
      <c r="E138" s="111">
        <f t="shared" ca="1" si="77"/>
        <v>5.3999999999999995</v>
      </c>
      <c r="F138" s="111">
        <f t="shared" ca="1" si="77"/>
        <v>5.3999999999999995</v>
      </c>
      <c r="G138" s="111">
        <f t="shared" ca="1" si="77"/>
        <v>5.3999999999999995</v>
      </c>
      <c r="H138" s="111">
        <f t="shared" ca="1" si="77"/>
        <v>5.3999999999999995</v>
      </c>
      <c r="I138" s="111">
        <f t="shared" ca="1" si="77"/>
        <v>5.3999999999999995</v>
      </c>
      <c r="J138" s="111">
        <f t="shared" ca="1" si="77"/>
        <v>5.3999999999999995</v>
      </c>
      <c r="K138" s="111">
        <f t="shared" ca="1" si="77"/>
        <v>5.3999999999999995</v>
      </c>
      <c r="L138" s="111">
        <f t="shared" ca="1" si="77"/>
        <v>5.3999999999999995</v>
      </c>
      <c r="M138" s="111">
        <f t="shared" ca="1" si="77"/>
        <v>5.3999999999999995</v>
      </c>
      <c r="N138" s="111">
        <f t="shared" ca="1" si="77"/>
        <v>5.3999999999999995</v>
      </c>
      <c r="O138" s="111">
        <f t="shared" ca="1" si="77"/>
        <v>5.3999999999999995</v>
      </c>
      <c r="P138" s="111">
        <f t="shared" ca="1" si="77"/>
        <v>5.3999999999999995</v>
      </c>
      <c r="Q138" s="111">
        <f t="shared" ca="1" si="77"/>
        <v>5.3999999999999995</v>
      </c>
    </row>
    <row r="139" spans="1:17" x14ac:dyDescent="0.3">
      <c r="A139" s="3" t="str">
        <f>INDEX(Mapping!$Y:$Y,MATCH(B139,Mapping!$W:$W,0))</f>
        <v>Interface</v>
      </c>
      <c r="B139" t="s">
        <v>188</v>
      </c>
      <c r="C139" s="111">
        <f ca="1">SUMIFS(OFFSET(CONSOLIDATED!$H$6:$H$84,0,MATCH(C$62,CONSOLIDATED!$H$2:$V$2,0)-1),CONSOLIDATED!$A$6:$A$84,$B139)</f>
        <v>46</v>
      </c>
      <c r="D139" s="111">
        <f t="shared" ref="D139:Q139" ca="1" si="78">IF($A139="Rural",$C139,C139*(1+D$149))</f>
        <v>46.565479128278383</v>
      </c>
      <c r="E139" s="111">
        <f t="shared" ca="1" si="78"/>
        <v>47.130958256556781</v>
      </c>
      <c r="F139" s="111">
        <f t="shared" ca="1" si="78"/>
        <v>47.696437384835157</v>
      </c>
      <c r="G139" s="111">
        <f t="shared" ca="1" si="78"/>
        <v>48.261916513113583</v>
      </c>
      <c r="H139" s="111">
        <f t="shared" ca="1" si="78"/>
        <v>49.421000188202463</v>
      </c>
      <c r="I139" s="111">
        <f t="shared" ca="1" si="78"/>
        <v>50.580083863291357</v>
      </c>
      <c r="J139" s="111">
        <f t="shared" ca="1" si="78"/>
        <v>51.712527649084308</v>
      </c>
      <c r="K139" s="111">
        <f t="shared" ca="1" si="78"/>
        <v>52.81833154558128</v>
      </c>
      <c r="L139" s="111">
        <f t="shared" ca="1" si="78"/>
        <v>53.897495552782289</v>
      </c>
      <c r="M139" s="111">
        <f t="shared" ca="1" si="78"/>
        <v>54.975735391126797</v>
      </c>
      <c r="N139" s="111">
        <f t="shared" ca="1" si="78"/>
        <v>56.027335340175327</v>
      </c>
      <c r="O139" s="111">
        <f t="shared" ca="1" si="78"/>
        <v>57.052295399927921</v>
      </c>
      <c r="P139" s="111">
        <f t="shared" ca="1" si="78"/>
        <v>58.050615570384544</v>
      </c>
      <c r="Q139" s="111">
        <f t="shared" ca="1" si="78"/>
        <v>59.022295851545223</v>
      </c>
    </row>
    <row r="140" spans="1:17" x14ac:dyDescent="0.3">
      <c r="A140" s="3" t="str">
        <f>INDEX(Mapping!$Y:$Y,MATCH(B140,Mapping!$W:$W,0))</f>
        <v>Metro</v>
      </c>
      <c r="B140" t="s">
        <v>146</v>
      </c>
      <c r="C140" s="111">
        <f ca="1">SUMIFS(OFFSET(CONSOLIDATED!$H$6:$H$84,0,MATCH(C$62,CONSOLIDATED!$H$2:$V$2,0)-1),CONSOLIDATED!$A$6:$A$84,$B140)</f>
        <v>8.2000000000000011</v>
      </c>
      <c r="D140" s="111">
        <f t="shared" ref="D140:Q140" ca="1" si="79">IF($A140="Rural",$C140,C140*(1+D$149))</f>
        <v>8.3008028011278867</v>
      </c>
      <c r="E140" s="111">
        <f t="shared" ca="1" si="79"/>
        <v>8.4016056022557759</v>
      </c>
      <c r="F140" s="111">
        <f t="shared" ca="1" si="79"/>
        <v>8.5024084033836598</v>
      </c>
      <c r="G140" s="111">
        <f t="shared" ca="1" si="79"/>
        <v>8.6032112045115525</v>
      </c>
      <c r="H140" s="111">
        <f t="shared" ca="1" si="79"/>
        <v>8.8098304683317448</v>
      </c>
      <c r="I140" s="111">
        <f t="shared" ca="1" si="79"/>
        <v>9.0164497321519388</v>
      </c>
      <c r="J140" s="111">
        <f t="shared" ca="1" si="79"/>
        <v>9.2183201461411173</v>
      </c>
      <c r="K140" s="111">
        <f t="shared" ca="1" si="79"/>
        <v>9.4154417102992731</v>
      </c>
      <c r="L140" s="111">
        <f t="shared" ca="1" si="79"/>
        <v>9.6078144246264099</v>
      </c>
      <c r="M140" s="111">
        <f t="shared" ca="1" si="79"/>
        <v>9.8000223958095614</v>
      </c>
      <c r="N140" s="111">
        <f t="shared" ca="1" si="79"/>
        <v>9.9874815171616902</v>
      </c>
      <c r="O140" s="111">
        <f t="shared" ca="1" si="79"/>
        <v>10.170191788682805</v>
      </c>
      <c r="P140" s="111">
        <f t="shared" ca="1" si="79"/>
        <v>10.348153210372899</v>
      </c>
      <c r="Q140" s="111">
        <f t="shared" ca="1" si="79"/>
        <v>10.521365782231978</v>
      </c>
    </row>
    <row r="141" spans="1:17" x14ac:dyDescent="0.3">
      <c r="A141" s="3" t="str">
        <f>INDEX(Mapping!$Y:$Y,MATCH(B141,Mapping!$W:$W,0))</f>
        <v>Interface</v>
      </c>
      <c r="B141" t="s">
        <v>129</v>
      </c>
      <c r="C141" s="111">
        <f ca="1">SUMIFS(OFFSET(CONSOLIDATED!$H$6:$H$84,0,MATCH(C$62,CONSOLIDATED!$H$2:$V$2,0)-1),CONSOLIDATED!$A$6:$A$84,$B141)</f>
        <v>16.099999999999998</v>
      </c>
      <c r="D141" s="111">
        <f t="shared" ref="D141:Q141" ca="1" si="80">IF($A141="Rural",$C141,C141*(1+D$149))</f>
        <v>16.297917694897432</v>
      </c>
      <c r="E141" s="111">
        <f t="shared" ca="1" si="80"/>
        <v>16.495835389794873</v>
      </c>
      <c r="F141" s="111">
        <f t="shared" ca="1" si="80"/>
        <v>16.693753084692304</v>
      </c>
      <c r="G141" s="111">
        <f t="shared" ca="1" si="80"/>
        <v>16.891670779589752</v>
      </c>
      <c r="H141" s="111">
        <f t="shared" ca="1" si="80"/>
        <v>17.297350065870862</v>
      </c>
      <c r="I141" s="111">
        <f t="shared" ca="1" si="80"/>
        <v>17.703029352151976</v>
      </c>
      <c r="J141" s="111">
        <f t="shared" ca="1" si="80"/>
        <v>18.099384677179508</v>
      </c>
      <c r="K141" s="111">
        <f t="shared" ca="1" si="80"/>
        <v>18.486416040953451</v>
      </c>
      <c r="L141" s="111">
        <f t="shared" ca="1" si="80"/>
        <v>18.864123443473805</v>
      </c>
      <c r="M141" s="111">
        <f t="shared" ca="1" si="80"/>
        <v>19.24150738689438</v>
      </c>
      <c r="N141" s="111">
        <f t="shared" ca="1" si="80"/>
        <v>19.609567369061367</v>
      </c>
      <c r="O141" s="111">
        <f t="shared" ca="1" si="80"/>
        <v>19.968303389974775</v>
      </c>
      <c r="P141" s="111">
        <f t="shared" ca="1" si="80"/>
        <v>20.317715449634594</v>
      </c>
      <c r="Q141" s="111">
        <f t="shared" ca="1" si="80"/>
        <v>20.657803548040832</v>
      </c>
    </row>
    <row r="142" spans="1:17" x14ac:dyDescent="0.3">
      <c r="A142" s="3" t="str">
        <f>INDEX(Mapping!$Y:$Y,MATCH(B142,Mapping!$W:$W,0))</f>
        <v>Rural</v>
      </c>
      <c r="B142" t="s">
        <v>189</v>
      </c>
      <c r="C142" s="111">
        <f ca="1">SUMIFS(OFFSET(CONSOLIDATED!$H$6:$H$84,0,MATCH(C$62,CONSOLIDATED!$H$2:$V$2,0)-1),CONSOLIDATED!$A$6:$A$84,$B142)</f>
        <v>1.3</v>
      </c>
      <c r="D142" s="111">
        <f t="shared" ref="D142:Q142" ca="1" si="81">IF($A142="Rural",$C142,C142*(1+D$149))</f>
        <v>1.3</v>
      </c>
      <c r="E142" s="111">
        <f t="shared" ca="1" si="81"/>
        <v>1.3</v>
      </c>
      <c r="F142" s="111">
        <f t="shared" ca="1" si="81"/>
        <v>1.3</v>
      </c>
      <c r="G142" s="111">
        <f t="shared" ca="1" si="81"/>
        <v>1.3</v>
      </c>
      <c r="H142" s="111">
        <f t="shared" ca="1" si="81"/>
        <v>1.3</v>
      </c>
      <c r="I142" s="111">
        <f t="shared" ca="1" si="81"/>
        <v>1.3</v>
      </c>
      <c r="J142" s="111">
        <f t="shared" ca="1" si="81"/>
        <v>1.3</v>
      </c>
      <c r="K142" s="111">
        <f t="shared" ca="1" si="81"/>
        <v>1.3</v>
      </c>
      <c r="L142" s="111">
        <f t="shared" ca="1" si="81"/>
        <v>1.3</v>
      </c>
      <c r="M142" s="111">
        <f t="shared" ca="1" si="81"/>
        <v>1.3</v>
      </c>
      <c r="N142" s="111">
        <f t="shared" ca="1" si="81"/>
        <v>1.3</v>
      </c>
      <c r="O142" s="111">
        <f t="shared" ca="1" si="81"/>
        <v>1.3</v>
      </c>
      <c r="P142" s="111">
        <f t="shared" ca="1" si="81"/>
        <v>1.3</v>
      </c>
      <c r="Q142" s="111">
        <f t="shared" ca="1" si="81"/>
        <v>1.3</v>
      </c>
    </row>
    <row r="145" spans="1:17" x14ac:dyDescent="0.3">
      <c r="A145" t="s">
        <v>344</v>
      </c>
      <c r="C145" s="11">
        <f t="shared" ref="C145:Q145" ca="1" si="82">SUM(C$64:C$142)</f>
        <v>712.33999999999992</v>
      </c>
      <c r="D145" s="11">
        <f t="shared" ca="1" si="82"/>
        <v>718.97479119813943</v>
      </c>
      <c r="E145" s="11">
        <f t="shared" ca="1" si="82"/>
        <v>725.60958239627871</v>
      </c>
      <c r="F145" s="11">
        <f t="shared" ca="1" si="82"/>
        <v>732.24437359441799</v>
      </c>
      <c r="G145" s="11">
        <f t="shared" ca="1" si="82"/>
        <v>738.87916479255784</v>
      </c>
      <c r="H145" s="11">
        <f t="shared" ca="1" si="82"/>
        <v>752.47874394731809</v>
      </c>
      <c r="I145" s="11">
        <f t="shared" ca="1" si="82"/>
        <v>766.07832310207846</v>
      </c>
      <c r="J145" s="11">
        <f t="shared" ca="1" si="82"/>
        <v>779.36533527747338</v>
      </c>
      <c r="K145" s="11">
        <f t="shared" ca="1" si="82"/>
        <v>792.33978047350274</v>
      </c>
      <c r="L145" s="11">
        <f t="shared" ca="1" si="82"/>
        <v>805.00165869016632</v>
      </c>
      <c r="M145" s="11">
        <f t="shared" ca="1" si="82"/>
        <v>817.65269359345564</v>
      </c>
      <c r="N145" s="11">
        <f t="shared" ca="1" si="82"/>
        <v>829.99116151737849</v>
      </c>
      <c r="O145" s="11">
        <f t="shared" ca="1" si="82"/>
        <v>842.0170624619368</v>
      </c>
      <c r="P145" s="11">
        <f t="shared" ca="1" si="82"/>
        <v>853.73039642712922</v>
      </c>
      <c r="Q145" s="11">
        <f t="shared" ca="1" si="82"/>
        <v>865.13116341295608</v>
      </c>
    </row>
    <row r="146" spans="1:17" x14ac:dyDescent="0.3">
      <c r="A146" t="s">
        <v>345</v>
      </c>
      <c r="C146" s="11">
        <f t="shared" ref="C146:Q146" si="83">SUM(C19:C58)</f>
        <v>994.26809767731788</v>
      </c>
      <c r="D146" s="11">
        <f t="shared" si="83"/>
        <v>1007.0041670054476</v>
      </c>
      <c r="E146" s="11">
        <f t="shared" si="83"/>
        <v>1019.7402363335774</v>
      </c>
      <c r="F146" s="11">
        <f t="shared" si="83"/>
        <v>1032.4763056617066</v>
      </c>
      <c r="G146" s="11">
        <f t="shared" si="83"/>
        <v>1045.2123749898371</v>
      </c>
      <c r="H146" s="11">
        <f t="shared" si="83"/>
        <v>1071.3179716508121</v>
      </c>
      <c r="I146" s="11">
        <f t="shared" si="83"/>
        <v>1097.4235683117872</v>
      </c>
      <c r="J146" s="11">
        <f t="shared" si="83"/>
        <v>1122.9291649727627</v>
      </c>
      <c r="K146" s="11">
        <f t="shared" si="83"/>
        <v>1147.8347616337378</v>
      </c>
      <c r="L146" s="11">
        <f t="shared" si="83"/>
        <v>1172.1403582947128</v>
      </c>
      <c r="M146" s="11">
        <f t="shared" si="83"/>
        <v>1196.4251402553059</v>
      </c>
      <c r="N146" s="11">
        <f t="shared" si="83"/>
        <v>1220.1099222158987</v>
      </c>
      <c r="O146" s="11">
        <f t="shared" si="83"/>
        <v>1243.1947041764918</v>
      </c>
      <c r="P146" s="11">
        <f t="shared" si="83"/>
        <v>1265.6794861370847</v>
      </c>
      <c r="Q146" s="11">
        <f t="shared" si="83"/>
        <v>1287.564268097678</v>
      </c>
    </row>
    <row r="147" spans="1:17" x14ac:dyDescent="0.3">
      <c r="A147" t="s">
        <v>346</v>
      </c>
      <c r="C147" s="11">
        <f t="shared" ref="C147:Q147" si="84">$C$156</f>
        <v>41.772243683506488</v>
      </c>
      <c r="D147" s="11">
        <f t="shared" si="84"/>
        <v>41.772243683506488</v>
      </c>
      <c r="E147" s="11">
        <f t="shared" si="84"/>
        <v>41.772243683506488</v>
      </c>
      <c r="F147" s="11">
        <f t="shared" si="84"/>
        <v>41.772243683506488</v>
      </c>
      <c r="G147" s="11">
        <f t="shared" si="84"/>
        <v>41.772243683506488</v>
      </c>
      <c r="H147" s="11">
        <f t="shared" si="84"/>
        <v>41.772243683506488</v>
      </c>
      <c r="I147" s="11">
        <f t="shared" si="84"/>
        <v>41.772243683506488</v>
      </c>
      <c r="J147" s="11">
        <f t="shared" si="84"/>
        <v>41.772243683506488</v>
      </c>
      <c r="K147" s="11">
        <f t="shared" si="84"/>
        <v>41.772243683506488</v>
      </c>
      <c r="L147" s="11">
        <f t="shared" si="84"/>
        <v>41.772243683506488</v>
      </c>
      <c r="M147" s="11">
        <f t="shared" si="84"/>
        <v>41.772243683506488</v>
      </c>
      <c r="N147" s="11">
        <f t="shared" si="84"/>
        <v>41.772243683506488</v>
      </c>
      <c r="O147" s="11">
        <f t="shared" si="84"/>
        <v>41.772243683506488</v>
      </c>
      <c r="P147" s="11">
        <f t="shared" si="84"/>
        <v>41.772243683506488</v>
      </c>
      <c r="Q147" s="11">
        <f t="shared" si="84"/>
        <v>41.772243683506488</v>
      </c>
    </row>
    <row r="148" spans="1:17" x14ac:dyDescent="0.3">
      <c r="A148" s="4" t="s">
        <v>347</v>
      </c>
      <c r="B148" s="4"/>
      <c r="C148" s="133">
        <f t="shared" ref="C148:Q148" si="85">C146+C147</f>
        <v>1036.0403413608244</v>
      </c>
      <c r="D148" s="133">
        <f t="shared" si="85"/>
        <v>1048.776410688954</v>
      </c>
      <c r="E148" s="133">
        <f t="shared" si="85"/>
        <v>1061.5124800170838</v>
      </c>
      <c r="F148" s="133">
        <f t="shared" si="85"/>
        <v>1074.2485493452132</v>
      </c>
      <c r="G148" s="133">
        <f t="shared" si="85"/>
        <v>1086.9846186733437</v>
      </c>
      <c r="H148" s="133">
        <f t="shared" si="85"/>
        <v>1113.0902153343186</v>
      </c>
      <c r="I148" s="133">
        <f t="shared" si="85"/>
        <v>1139.1958119952938</v>
      </c>
      <c r="J148" s="133">
        <f t="shared" si="85"/>
        <v>1164.7014086562692</v>
      </c>
      <c r="K148" s="133">
        <f t="shared" si="85"/>
        <v>1189.6070053172443</v>
      </c>
      <c r="L148" s="133">
        <f t="shared" si="85"/>
        <v>1213.9126019782193</v>
      </c>
      <c r="M148" s="133">
        <f t="shared" si="85"/>
        <v>1238.1973839388124</v>
      </c>
      <c r="N148" s="133">
        <f t="shared" si="85"/>
        <v>1261.8821658994052</v>
      </c>
      <c r="O148" s="133">
        <f t="shared" si="85"/>
        <v>1284.9669478599983</v>
      </c>
      <c r="P148" s="133">
        <f t="shared" si="85"/>
        <v>1307.4517298205913</v>
      </c>
      <c r="Q148" s="133">
        <f t="shared" si="85"/>
        <v>1329.3365117811845</v>
      </c>
    </row>
    <row r="149" spans="1:17" x14ac:dyDescent="0.3">
      <c r="A149" t="s">
        <v>348</v>
      </c>
      <c r="D149" s="90">
        <f t="shared" ref="D149:Q149" si="86">D148/C148-1</f>
        <v>1.2293024527791019E-2</v>
      </c>
      <c r="E149" s="90">
        <f t="shared" si="86"/>
        <v>1.2143741219125426E-2</v>
      </c>
      <c r="F149" s="90">
        <f t="shared" si="86"/>
        <v>1.1998040124713727E-2</v>
      </c>
      <c r="G149" s="90">
        <f t="shared" si="86"/>
        <v>1.1855793834577133E-2</v>
      </c>
      <c r="H149" s="90">
        <f t="shared" si="86"/>
        <v>2.4016528120551106E-2</v>
      </c>
      <c r="I149" s="90">
        <f t="shared" si="86"/>
        <v>2.3453262189654822E-2</v>
      </c>
      <c r="J149" s="90">
        <f t="shared" si="86"/>
        <v>2.2389124321219755E-2</v>
      </c>
      <c r="K149" s="90">
        <f t="shared" si="86"/>
        <v>2.1383675228579868E-2</v>
      </c>
      <c r="L149" s="90">
        <f t="shared" si="86"/>
        <v>2.0431618637360982E-2</v>
      </c>
      <c r="M149" s="90">
        <f t="shared" si="86"/>
        <v>2.0005379234895537E-2</v>
      </c>
      <c r="N149" s="90">
        <f t="shared" si="86"/>
        <v>1.9128438056660535E-2</v>
      </c>
      <c r="O149" s="90">
        <f t="shared" si="86"/>
        <v>1.829392837495214E-2</v>
      </c>
      <c r="P149" s="90">
        <f t="shared" si="86"/>
        <v>1.7498334877826593E-2</v>
      </c>
      <c r="Q149" s="90">
        <f t="shared" si="86"/>
        <v>1.673850090327722E-2</v>
      </c>
    </row>
    <row r="151" spans="1:17" x14ac:dyDescent="0.3">
      <c r="A151" t="s">
        <v>344</v>
      </c>
      <c r="C151" s="109">
        <f>SUMIFS('DHHS data'!$BL$99:$CO$99,'DHHS data'!$BL$12:$CO$12,baseline)</f>
        <v>799.89</v>
      </c>
    </row>
    <row r="152" spans="1:17" x14ac:dyDescent="0.3">
      <c r="A152" t="s">
        <v>419</v>
      </c>
      <c r="C152" s="109">
        <f>SUMIFS('DHHS data'!$BL$99:$CO$99,'DHHS data'!$BL$12:$CO$12,baseline,'DHHS data'!$BL$15:$CO$15,"non MCH Nurse")</f>
        <v>32.440000000000005</v>
      </c>
    </row>
    <row r="153" spans="1:17" x14ac:dyDescent="0.3">
      <c r="A153" t="s">
        <v>420</v>
      </c>
      <c r="C153" s="147">
        <f>C152/C151</f>
        <v>4.0555576391753875E-2</v>
      </c>
    </row>
    <row r="155" spans="1:17" x14ac:dyDescent="0.3">
      <c r="A155" t="s">
        <v>421</v>
      </c>
      <c r="C155" s="146">
        <f>SUMIFS('DHHS data'!$AC$95:$BF$95,'DHHS data'!$AC$12:$BF$12,baseline)</f>
        <v>1030</v>
      </c>
    </row>
    <row r="156" spans="1:17" x14ac:dyDescent="0.3">
      <c r="A156" t="s">
        <v>422</v>
      </c>
      <c r="C156" s="10">
        <f>C155*C153</f>
        <v>41.772243683506488</v>
      </c>
    </row>
    <row r="161" spans="1:62" x14ac:dyDescent="0.3">
      <c r="C161" s="89" t="str">
        <f>'COUNCIL REPORT'!C$2</f>
        <v>2017-18</v>
      </c>
      <c r="D161" s="89" t="str">
        <f>'COUNCIL REPORT'!D$2</f>
        <v>2018-19</v>
      </c>
      <c r="E161" s="89" t="str">
        <f>'COUNCIL REPORT'!E$2</f>
        <v>2019-20</v>
      </c>
      <c r="F161" s="89" t="str">
        <f>'COUNCIL REPORT'!F$2</f>
        <v>2020-21</v>
      </c>
      <c r="G161" s="89" t="str">
        <f>'COUNCIL REPORT'!G$2</f>
        <v>2021-22</v>
      </c>
      <c r="H161" s="89" t="str">
        <f>'COUNCIL REPORT'!H$2</f>
        <v>2022-23</v>
      </c>
      <c r="I161" s="89" t="str">
        <f>'COUNCIL REPORT'!I$2</f>
        <v>2023-24</v>
      </c>
      <c r="J161" s="89" t="str">
        <f>'COUNCIL REPORT'!J$2</f>
        <v>2024-25</v>
      </c>
      <c r="K161" s="89" t="str">
        <f>'COUNCIL REPORT'!K$2</f>
        <v>2025-26</v>
      </c>
      <c r="L161" s="89" t="str">
        <f>'COUNCIL REPORT'!L$2</f>
        <v>2026-27</v>
      </c>
      <c r="M161" s="89" t="str">
        <f>'COUNCIL REPORT'!M$2</f>
        <v>2027-28</v>
      </c>
      <c r="N161" s="89" t="str">
        <f>'COUNCIL REPORT'!N$2</f>
        <v>2028-29</v>
      </c>
      <c r="O161" s="89" t="str">
        <f>'COUNCIL REPORT'!O$2</f>
        <v>2029-30</v>
      </c>
      <c r="P161" s="89" t="str">
        <f>'COUNCIL REPORT'!P$2</f>
        <v>2030-31</v>
      </c>
      <c r="Q161" s="89" t="str">
        <f>'COUNCIL REPORT'!Q$2</f>
        <v>2031-32</v>
      </c>
    </row>
    <row r="164" spans="1:62" x14ac:dyDescent="0.3">
      <c r="A164" s="3"/>
      <c r="B164" t="s">
        <v>383</v>
      </c>
      <c r="C164" s="138"/>
      <c r="D164" s="138">
        <f t="shared" ref="D164:Q164" ca="1" si="87">INDEX(D$64:D$142,MATCH(council,$B$64:$B$142,0))</f>
        <v>1.2000000000000002</v>
      </c>
      <c r="E164" s="138">
        <f t="shared" ca="1" si="87"/>
        <v>1.2000000000000002</v>
      </c>
      <c r="F164" s="138">
        <f t="shared" ca="1" si="87"/>
        <v>1.2000000000000002</v>
      </c>
      <c r="G164" s="138">
        <f t="shared" ca="1" si="87"/>
        <v>1.2000000000000002</v>
      </c>
      <c r="H164" s="138">
        <f t="shared" ca="1" si="87"/>
        <v>1.2000000000000002</v>
      </c>
      <c r="I164" s="138">
        <f t="shared" ca="1" si="87"/>
        <v>1.2000000000000002</v>
      </c>
      <c r="J164" s="138">
        <f t="shared" ca="1" si="87"/>
        <v>1.2000000000000002</v>
      </c>
      <c r="K164" s="138">
        <f t="shared" ca="1" si="87"/>
        <v>1.2000000000000002</v>
      </c>
      <c r="L164" s="138">
        <f t="shared" ca="1" si="87"/>
        <v>1.2000000000000002</v>
      </c>
      <c r="M164" s="138">
        <f t="shared" ca="1" si="87"/>
        <v>1.2000000000000002</v>
      </c>
      <c r="N164" s="138">
        <f t="shared" ca="1" si="87"/>
        <v>1.2000000000000002</v>
      </c>
      <c r="O164" s="138">
        <f t="shared" ca="1" si="87"/>
        <v>1.2000000000000002</v>
      </c>
      <c r="P164" s="138">
        <f t="shared" ca="1" si="87"/>
        <v>1.2000000000000002</v>
      </c>
      <c r="Q164" s="138">
        <f t="shared" ca="1" si="87"/>
        <v>1.2000000000000002</v>
      </c>
    </row>
    <row r="165" spans="1:62" x14ac:dyDescent="0.3">
      <c r="A165" s="3"/>
      <c r="B165" t="s">
        <v>377</v>
      </c>
      <c r="C165" s="138"/>
      <c r="D165" s="138">
        <f>INDEX(CONSOLIDATED!$H$6:$V$84,MATCH(council,CONSOLIDATED!$A$6:$A$84,0),MATCH(D$161,CONSOLIDATED!$H$2:$V$2,0))</f>
        <v>1.2000000000000002</v>
      </c>
      <c r="E165" s="138">
        <f>INDEX(CONSOLIDATED!$H$6:$V$84,MATCH(council,CONSOLIDATED!$A$6:$A$84,0),MATCH(E$161,CONSOLIDATED!$H$2:$V$2,0))</f>
        <v>1.2000000000000002</v>
      </c>
      <c r="F165" s="138">
        <f>INDEX(CONSOLIDATED!$H$6:$V$84,MATCH(council,CONSOLIDATED!$A$6:$A$84,0),MATCH(F$161,CONSOLIDATED!$H$2:$V$2,0))</f>
        <v>1.2000000000000002</v>
      </c>
      <c r="G165" s="138">
        <f>INDEX(CONSOLIDATED!$H$6:$V$84,MATCH(council,CONSOLIDATED!$A$6:$A$84,0),MATCH(G$161,CONSOLIDATED!$H$2:$V$2,0))</f>
        <v>1.2000000000000002</v>
      </c>
      <c r="H165" s="138">
        <f>INDEX(CONSOLIDATED!$H$6:$V$84,MATCH(council,CONSOLIDATED!$A$6:$A$84,0),MATCH(H$161,CONSOLIDATED!$H$2:$V$2,0))</f>
        <v>1.2000000000000002</v>
      </c>
      <c r="I165" s="138">
        <f>INDEX(CONSOLIDATED!$H$6:$V$84,MATCH(council,CONSOLIDATED!$A$6:$A$84,0),MATCH(I$161,CONSOLIDATED!$H$2:$V$2,0))</f>
        <v>1.2000000000000002</v>
      </c>
      <c r="J165" s="138">
        <f>INDEX(CONSOLIDATED!$H$6:$V$84,MATCH(council,CONSOLIDATED!$A$6:$A$84,0),MATCH(J$161,CONSOLIDATED!$H$2:$V$2,0))</f>
        <v>1.2000000000000002</v>
      </c>
      <c r="K165" s="138">
        <f>INDEX(CONSOLIDATED!$H$6:$V$84,MATCH(council,CONSOLIDATED!$A$6:$A$84,0),MATCH(K$161,CONSOLIDATED!$H$2:$V$2,0))</f>
        <v>1.2000000000000002</v>
      </c>
      <c r="L165" s="138">
        <f>INDEX(CONSOLIDATED!$H$6:$V$84,MATCH(council,CONSOLIDATED!$A$6:$A$84,0),MATCH(L$161,CONSOLIDATED!$H$2:$V$2,0))</f>
        <v>1.2000000000000002</v>
      </c>
      <c r="M165" s="138">
        <f>INDEX(CONSOLIDATED!$H$6:$V$84,MATCH(council,CONSOLIDATED!$A$6:$A$84,0),MATCH(M$161,CONSOLIDATED!$H$2:$V$2,0))</f>
        <v>1.2000000000000002</v>
      </c>
      <c r="N165" s="138">
        <f>INDEX(CONSOLIDATED!$H$6:$V$84,MATCH(council,CONSOLIDATED!$A$6:$A$84,0),MATCH(N$161,CONSOLIDATED!$H$2:$V$2,0))</f>
        <v>1.2000000000000002</v>
      </c>
      <c r="O165" s="138">
        <f>INDEX(CONSOLIDATED!$H$6:$V$84,MATCH(council,CONSOLIDATED!$A$6:$A$84,0),MATCH(O$161,CONSOLIDATED!$H$2:$V$2,0))</f>
        <v>1.2000000000000002</v>
      </c>
      <c r="P165" s="138">
        <f>INDEX(CONSOLIDATED!$H$6:$V$84,MATCH(council,CONSOLIDATED!$A$6:$A$84,0),MATCH(P$161,CONSOLIDATED!$H$2:$V$2,0))</f>
        <v>1.2000000000000002</v>
      </c>
      <c r="Q165" s="138">
        <f>INDEX(CONSOLIDATED!$H$6:$V$84,MATCH(council,CONSOLIDATED!$A$6:$A$84,0),MATCH(Q$161,CONSOLIDATED!$H$2:$V$2,0))</f>
        <v>1.2000000000000002</v>
      </c>
    </row>
    <row r="166" spans="1:62" x14ac:dyDescent="0.3">
      <c r="A166" s="3"/>
      <c r="B166" t="s">
        <v>378</v>
      </c>
      <c r="C166" s="142"/>
      <c r="D166" s="142">
        <f>'COUNCIL REPORT'!D$142</f>
        <v>0</v>
      </c>
      <c r="E166" s="142">
        <f>'COUNCIL REPORT'!E$142</f>
        <v>0</v>
      </c>
      <c r="F166" s="142">
        <f>'COUNCIL REPORT'!F$142</f>
        <v>0</v>
      </c>
      <c r="G166" s="142">
        <f>'COUNCIL REPORT'!G$142</f>
        <v>0</v>
      </c>
      <c r="H166" s="142">
        <f>'COUNCIL REPORT'!H$142</f>
        <v>0</v>
      </c>
      <c r="I166" s="142">
        <f>'COUNCIL REPORT'!I$142</f>
        <v>0</v>
      </c>
      <c r="J166" s="142">
        <f>'COUNCIL REPORT'!J$142</f>
        <v>0</v>
      </c>
      <c r="K166" s="142">
        <f>'COUNCIL REPORT'!K$142</f>
        <v>0</v>
      </c>
      <c r="L166" s="142">
        <f>'COUNCIL REPORT'!L$142</f>
        <v>0</v>
      </c>
      <c r="M166" s="142">
        <f>'COUNCIL REPORT'!M$142</f>
        <v>0</v>
      </c>
      <c r="N166" s="142">
        <f>'COUNCIL REPORT'!N$142</f>
        <v>0</v>
      </c>
      <c r="O166" s="142">
        <f>'COUNCIL REPORT'!O$142</f>
        <v>0</v>
      </c>
      <c r="P166" s="142">
        <f>'COUNCIL REPORT'!P$142</f>
        <v>0</v>
      </c>
      <c r="Q166" s="142">
        <f>'COUNCIL REPORT'!Q$142</f>
        <v>0</v>
      </c>
    </row>
    <row r="167" spans="1:62" x14ac:dyDescent="0.3">
      <c r="D167" s="134"/>
      <c r="E167" s="134"/>
      <c r="F167" s="134"/>
      <c r="G167" s="134"/>
      <c r="H167" s="134"/>
      <c r="I167" s="134"/>
      <c r="J167" s="134"/>
      <c r="K167" s="134"/>
      <c r="L167" s="134"/>
      <c r="M167" s="134"/>
      <c r="N167" s="134"/>
      <c r="O167" s="134"/>
      <c r="P167" s="134"/>
      <c r="Q167" s="134"/>
    </row>
    <row r="168" spans="1:62" x14ac:dyDescent="0.3">
      <c r="A168" s="3" t="str">
        <f>council</f>
        <v>Alpine (S)</v>
      </c>
      <c r="B168" s="4" t="s">
        <v>380</v>
      </c>
      <c r="C168" s="4"/>
      <c r="D168" s="143">
        <f t="shared" ref="D168:Q168" ca="1" si="88">IF(D166=0,D$164,D$166)</f>
        <v>1.2000000000000002</v>
      </c>
      <c r="E168" s="143">
        <f t="shared" ca="1" si="88"/>
        <v>1.2000000000000002</v>
      </c>
      <c r="F168" s="143">
        <f t="shared" ca="1" si="88"/>
        <v>1.2000000000000002</v>
      </c>
      <c r="G168" s="143">
        <f t="shared" ca="1" si="88"/>
        <v>1.2000000000000002</v>
      </c>
      <c r="H168" s="143">
        <f t="shared" ca="1" si="88"/>
        <v>1.2000000000000002</v>
      </c>
      <c r="I168" s="143">
        <f t="shared" ca="1" si="88"/>
        <v>1.2000000000000002</v>
      </c>
      <c r="J168" s="143">
        <f t="shared" ca="1" si="88"/>
        <v>1.2000000000000002</v>
      </c>
      <c r="K168" s="143">
        <f t="shared" ca="1" si="88"/>
        <v>1.2000000000000002</v>
      </c>
      <c r="L168" s="143">
        <f t="shared" ca="1" si="88"/>
        <v>1.2000000000000002</v>
      </c>
      <c r="M168" s="143">
        <f t="shared" ca="1" si="88"/>
        <v>1.2000000000000002</v>
      </c>
      <c r="N168" s="143">
        <f t="shared" ca="1" si="88"/>
        <v>1.2000000000000002</v>
      </c>
      <c r="O168" s="143">
        <f t="shared" ca="1" si="88"/>
        <v>1.2000000000000002</v>
      </c>
      <c r="P168" s="143">
        <f t="shared" ca="1" si="88"/>
        <v>1.2000000000000002</v>
      </c>
      <c r="Q168" s="143">
        <f t="shared" ca="1" si="88"/>
        <v>1.2000000000000002</v>
      </c>
    </row>
    <row r="169" spans="1:62" x14ac:dyDescent="0.3">
      <c r="B169" s="3" t="s">
        <v>410</v>
      </c>
      <c r="C169" s="3"/>
      <c r="D169" s="144">
        <f t="shared" ref="D169:Q169" ca="1" si="89">D168/D165-1</f>
        <v>0</v>
      </c>
      <c r="E169" s="144">
        <f t="shared" ca="1" si="89"/>
        <v>0</v>
      </c>
      <c r="F169" s="144">
        <f t="shared" ca="1" si="89"/>
        <v>0</v>
      </c>
      <c r="G169" s="144">
        <f t="shared" ca="1" si="89"/>
        <v>0</v>
      </c>
      <c r="H169" s="144">
        <f t="shared" ca="1" si="89"/>
        <v>0</v>
      </c>
      <c r="I169" s="144">
        <f t="shared" ca="1" si="89"/>
        <v>0</v>
      </c>
      <c r="J169" s="144">
        <f t="shared" ca="1" si="89"/>
        <v>0</v>
      </c>
      <c r="K169" s="144">
        <f t="shared" ca="1" si="89"/>
        <v>0</v>
      </c>
      <c r="L169" s="144">
        <f t="shared" ca="1" si="89"/>
        <v>0</v>
      </c>
      <c r="M169" s="144">
        <f t="shared" ca="1" si="89"/>
        <v>0</v>
      </c>
      <c r="N169" s="144">
        <f t="shared" ca="1" si="89"/>
        <v>0</v>
      </c>
      <c r="O169" s="144">
        <f t="shared" ca="1" si="89"/>
        <v>0</v>
      </c>
      <c r="P169" s="144">
        <f t="shared" ca="1" si="89"/>
        <v>0</v>
      </c>
      <c r="Q169" s="144">
        <f t="shared" ca="1" si="89"/>
        <v>0</v>
      </c>
    </row>
    <row r="173" spans="1:62" ht="20" thickBot="1" x14ac:dyDescent="0.5">
      <c r="A173" s="1"/>
      <c r="B173" s="1" t="s">
        <v>403</v>
      </c>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row>
    <row r="174" spans="1:62" ht="14.5" thickTop="1" x14ac:dyDescent="0.3"/>
    <row r="176" spans="1:62" x14ac:dyDescent="0.3">
      <c r="A176" s="4"/>
      <c r="C176" s="19">
        <f>'COUNCIL REPORT'!C$1</f>
        <v>2017</v>
      </c>
      <c r="D176" s="19">
        <f>'COUNCIL REPORT'!D$1</f>
        <v>2018</v>
      </c>
      <c r="E176" s="19">
        <f>'COUNCIL REPORT'!E$1</f>
        <v>2019</v>
      </c>
      <c r="F176" s="19">
        <f>'COUNCIL REPORT'!F$1</f>
        <v>2020</v>
      </c>
      <c r="G176" s="19">
        <f>'COUNCIL REPORT'!G$1</f>
        <v>2021</v>
      </c>
      <c r="H176" s="19">
        <f>'COUNCIL REPORT'!H$1</f>
        <v>2022</v>
      </c>
      <c r="I176" s="19">
        <f>'COUNCIL REPORT'!I$1</f>
        <v>2023</v>
      </c>
      <c r="J176" s="19">
        <f>'COUNCIL REPORT'!J$1</f>
        <v>2024</v>
      </c>
      <c r="K176" s="19">
        <f>'COUNCIL REPORT'!K$1</f>
        <v>2025</v>
      </c>
      <c r="L176" s="19">
        <f>'COUNCIL REPORT'!L$1</f>
        <v>2026</v>
      </c>
      <c r="M176" s="19">
        <f>'COUNCIL REPORT'!M$1</f>
        <v>2027</v>
      </c>
      <c r="N176" s="19">
        <f>'COUNCIL REPORT'!N$1</f>
        <v>2028</v>
      </c>
      <c r="O176" s="19">
        <f>'COUNCIL REPORT'!O$1</f>
        <v>2029</v>
      </c>
      <c r="P176" s="19">
        <f>'COUNCIL REPORT'!P$1</f>
        <v>2030</v>
      </c>
      <c r="Q176" s="19">
        <f>'COUNCIL REPORT'!Q$1</f>
        <v>2031</v>
      </c>
    </row>
    <row r="177" spans="1:17" x14ac:dyDescent="0.3">
      <c r="C177" s="89" t="str">
        <f>'COUNCIL REPORT'!C$2</f>
        <v>2017-18</v>
      </c>
      <c r="D177" s="89" t="str">
        <f>'COUNCIL REPORT'!D$2</f>
        <v>2018-19</v>
      </c>
      <c r="E177" s="89" t="str">
        <f>'COUNCIL REPORT'!E$2</f>
        <v>2019-20</v>
      </c>
      <c r="F177" s="89" t="str">
        <f>'COUNCIL REPORT'!F$2</f>
        <v>2020-21</v>
      </c>
      <c r="G177" s="89" t="str">
        <f>'COUNCIL REPORT'!G$2</f>
        <v>2021-22</v>
      </c>
      <c r="H177" s="89" t="str">
        <f>'COUNCIL REPORT'!H$2</f>
        <v>2022-23</v>
      </c>
      <c r="I177" s="89" t="str">
        <f>'COUNCIL REPORT'!I$2</f>
        <v>2023-24</v>
      </c>
      <c r="J177" s="89" t="str">
        <f>'COUNCIL REPORT'!J$2</f>
        <v>2024-25</v>
      </c>
      <c r="K177" s="89" t="str">
        <f>'COUNCIL REPORT'!K$2</f>
        <v>2025-26</v>
      </c>
      <c r="L177" s="89" t="str">
        <f>'COUNCIL REPORT'!L$2</f>
        <v>2026-27</v>
      </c>
      <c r="M177" s="89" t="str">
        <f>'COUNCIL REPORT'!M$2</f>
        <v>2027-28</v>
      </c>
      <c r="N177" s="89" t="str">
        <f>'COUNCIL REPORT'!N$2</f>
        <v>2028-29</v>
      </c>
      <c r="O177" s="89" t="str">
        <f>'COUNCIL REPORT'!O$2</f>
        <v>2029-30</v>
      </c>
      <c r="P177" s="89" t="str">
        <f>'COUNCIL REPORT'!P$2</f>
        <v>2030-31</v>
      </c>
      <c r="Q177" s="89" t="str">
        <f>'COUNCIL REPORT'!Q$2</f>
        <v>2031-32</v>
      </c>
    </row>
    <row r="178" spans="1:17" x14ac:dyDescent="0.3">
      <c r="B178" s="4" t="s">
        <v>404</v>
      </c>
    </row>
    <row r="179" spans="1:17" x14ac:dyDescent="0.3">
      <c r="A179">
        <v>0</v>
      </c>
      <c r="B179" t="s">
        <v>301</v>
      </c>
      <c r="C179" s="11">
        <f ca="1">SUMIFS(OFFSET('Other data'!$H$8:$H$481,0,MATCH(C$176,'Other data'!$H$7:$V$7,0)-1),'Other data'!$C$8:$C$481,council,'Other data'!$D$8:$D$481,$A179)</f>
        <v>81.348982785602516</v>
      </c>
      <c r="D179" s="11">
        <f ca="1">IF('COUNCIL REPORT'!D$103=0,SUMIFS(OFFSET('Other data'!$H$8:$H$481,0,MATCH(D$176,'Other data'!$H$7:$V$7,0)-1),'Other data'!$C$8:$C$481,council,'Other data'!$D$8:$D$481,$A179),'COUNCIL REPORT'!D$103)</f>
        <v>84.116985831251185</v>
      </c>
      <c r="E179" s="11">
        <f ca="1">IF('COUNCIL REPORT'!E$103=0,SUMIFS(OFFSET('Other data'!$H$8:$H$481,0,MATCH(E$176,'Other data'!$H$7:$V$7,0)-1),'Other data'!$C$8:$C$481,council,'Other data'!$D$8:$D$481,$A179),'COUNCIL REPORT'!E$103)</f>
        <v>84.07478416579012</v>
      </c>
      <c r="F179" s="11">
        <f ca="1">IF('COUNCIL REPORT'!F$103=0,SUMIFS(OFFSET('Other data'!$H$8:$H$481,0,MATCH(F$176,'Other data'!$H$7:$V$7,0)-1),'Other data'!$C$8:$C$481,council,'Other data'!$D$8:$D$481,$A179),'COUNCIL REPORT'!F$103)</f>
        <v>84.060483119507595</v>
      </c>
      <c r="G179" s="11">
        <f ca="1">IF('COUNCIL REPORT'!G$103=0,SUMIFS(OFFSET('Other data'!$H$8:$H$481,0,MATCH(G$176,'Other data'!$H$7:$V$7,0)-1),'Other data'!$C$8:$C$481,council,'Other data'!$D$8:$D$481,$A179),'COUNCIL REPORT'!G$103)</f>
        <v>84.082626586849557</v>
      </c>
      <c r="H179" s="11">
        <f ca="1">IF('COUNCIL REPORT'!H$103=0,SUMIFS(OFFSET('Other data'!$H$8:$H$481,0,MATCH(H$176,'Other data'!$H$7:$V$7,0)-1),'Other data'!$C$8:$C$481,council,'Other data'!$D$8:$D$481,$A179),'COUNCIL REPORT'!H$103)</f>
        <v>84.129474347964006</v>
      </c>
      <c r="I179" s="11">
        <f ca="1">IF('COUNCIL REPORT'!I$103=0,SUMIFS(OFFSET('Other data'!$H$8:$H$481,0,MATCH(I$176,'Other data'!$H$7:$V$7,0)-1),'Other data'!$C$8:$C$481,council,'Other data'!$D$8:$D$481,$A179),'COUNCIL REPORT'!I$103)</f>
        <v>84.230210939286422</v>
      </c>
      <c r="J179" s="11">
        <f ca="1">IF('COUNCIL REPORT'!J$103=0,SUMIFS(OFFSET('Other data'!$H$8:$H$481,0,MATCH(J$176,'Other data'!$H$7:$V$7,0)-1),'Other data'!$C$8:$C$481,council,'Other data'!$D$8:$D$481,$A179),'COUNCIL REPORT'!J$103)</f>
        <v>84.334653688007435</v>
      </c>
      <c r="K179" s="11">
        <f ca="1">IF('COUNCIL REPORT'!K$103=0,SUMIFS(OFFSET('Other data'!$H$8:$H$481,0,MATCH(K$176,'Other data'!$H$7:$V$7,0)-1),'Other data'!$C$8:$C$481,council,'Other data'!$D$8:$D$481,$A179),'COUNCIL REPORT'!K$103)</f>
        <v>84.434546479108533</v>
      </c>
      <c r="L179" s="11">
        <f ca="1">IF('COUNCIL REPORT'!L$103=0,SUMIFS(OFFSET('Other data'!$H$8:$H$481,0,MATCH(L$176,'Other data'!$H$7:$V$7,0)-1),'Other data'!$C$8:$C$481,council,'Other data'!$D$8:$D$481,$A179),'COUNCIL REPORT'!L$103)</f>
        <v>84.530707001592319</v>
      </c>
      <c r="M179" s="11">
        <f ca="1">IF('COUNCIL REPORT'!M$103=0,SUMIFS(OFFSET('Other data'!$H$8:$H$481,0,MATCH(M$176,'Other data'!$H$7:$V$7,0)-1),'Other data'!$C$8:$C$481,council,'Other data'!$D$8:$D$481,$A179),'COUNCIL REPORT'!M$103)</f>
        <v>84.626859118405804</v>
      </c>
      <c r="N179" s="11">
        <f ca="1">IF('COUNCIL REPORT'!N$103=0,SUMIFS(OFFSET('Other data'!$H$8:$H$481,0,MATCH(N$176,'Other data'!$H$7:$V$7,0)-1),'Other data'!$C$8:$C$481,council,'Other data'!$D$8:$D$481,$A179),'COUNCIL REPORT'!N$103)</f>
        <v>84.730761450489865</v>
      </c>
      <c r="O179" s="11">
        <f ca="1">IF('COUNCIL REPORT'!O$103=0,SUMIFS(OFFSET('Other data'!$H$8:$H$481,0,MATCH(O$176,'Other data'!$H$7:$V$7,0)-1),'Other data'!$C$8:$C$481,council,'Other data'!$D$8:$D$481,$A179),'COUNCIL REPORT'!O$103)</f>
        <v>84.845071617319348</v>
      </c>
      <c r="P179" s="11">
        <f ca="1">IF('COUNCIL REPORT'!P$103=0,SUMIFS(OFFSET('Other data'!$H$8:$H$481,0,MATCH(P$176,'Other data'!$H$7:$V$7,0)-1),'Other data'!$C$8:$C$481,council,'Other data'!$D$8:$D$481,$A179),'COUNCIL REPORT'!P$103)</f>
        <v>84.970507989124144</v>
      </c>
      <c r="Q179" s="11">
        <f ca="1">IF('COUNCIL REPORT'!Q$103=0,SUMIFS(OFFSET('Other data'!$H$8:$H$481,0,MATCH(Q$176,'Other data'!$H$7:$V$7,0)-1),'Other data'!$C$8:$C$481,council,'Other data'!$D$8:$D$481,$A179),'COUNCIL REPORT'!Q$103)</f>
        <v>85.088864991974887</v>
      </c>
    </row>
    <row r="180" spans="1:17" x14ac:dyDescent="0.3">
      <c r="A180">
        <v>1</v>
      </c>
      <c r="B180" t="s">
        <v>302</v>
      </c>
      <c r="C180" s="11">
        <f ca="1">SUMIFS(OFFSET('Other data'!$H$8:$H$481,0,MATCH(C$176,'Other data'!$H$7:$V$7,0)-1),'Other data'!$C$8:$C$481,council,'Other data'!$D$8:$D$481,$A180)</f>
        <v>87.406885758998442</v>
      </c>
      <c r="D180" s="11">
        <f ca="1">IF('COUNCIL REPORT'!D$103=0,SUMIFS(OFFSET('Other data'!$H$8:$H$481,0,MATCH(D$176,'Other data'!$H$7:$V$7,0)-1),'Other data'!$C$8:$C$481,council,'Other data'!$D$8:$D$481,$A180),C179)</f>
        <v>81.348982785602516</v>
      </c>
      <c r="E180" s="11">
        <f ca="1">IF('COUNCIL REPORT'!E$103=0,SUMIFS(OFFSET('Other data'!$H$8:$H$481,0,MATCH(E$176,'Other data'!$H$7:$V$7,0)-1),'Other data'!$C$8:$C$481,council,'Other data'!$D$8:$D$481,$A180),D179)</f>
        <v>84.116985831251185</v>
      </c>
      <c r="F180" s="11">
        <f ca="1">IF('COUNCIL REPORT'!F$103=0,SUMIFS(OFFSET('Other data'!$H$8:$H$481,0,MATCH(F$176,'Other data'!$H$7:$V$7,0)-1),'Other data'!$C$8:$C$481,council,'Other data'!$D$8:$D$481,$A180),E179)</f>
        <v>84.07478416579012</v>
      </c>
      <c r="G180" s="11">
        <f ca="1">IF('COUNCIL REPORT'!G$103=0,SUMIFS(OFFSET('Other data'!$H$8:$H$481,0,MATCH(G$176,'Other data'!$H$7:$V$7,0)-1),'Other data'!$C$8:$C$481,council,'Other data'!$D$8:$D$481,$A180),F179)</f>
        <v>84.060483119507595</v>
      </c>
      <c r="H180" s="11">
        <f ca="1">IF('COUNCIL REPORT'!H$103=0,SUMIFS(OFFSET('Other data'!$H$8:$H$481,0,MATCH(H$176,'Other data'!$H$7:$V$7,0)-1),'Other data'!$C$8:$C$481,council,'Other data'!$D$8:$D$481,$A180),G179)</f>
        <v>84.082626586849557</v>
      </c>
      <c r="I180" s="11">
        <f ca="1">IF('COUNCIL REPORT'!I$103=0,SUMIFS(OFFSET('Other data'!$H$8:$H$481,0,MATCH(I$176,'Other data'!$H$7:$V$7,0)-1),'Other data'!$C$8:$C$481,council,'Other data'!$D$8:$D$481,$A180),H179)</f>
        <v>84.129474347964006</v>
      </c>
      <c r="J180" s="11">
        <f ca="1">IF('COUNCIL REPORT'!J$103=0,SUMIFS(OFFSET('Other data'!$H$8:$H$481,0,MATCH(J$176,'Other data'!$H$7:$V$7,0)-1),'Other data'!$C$8:$C$481,council,'Other data'!$D$8:$D$481,$A180),I179)</f>
        <v>84.230210939286422</v>
      </c>
      <c r="K180" s="11">
        <f ca="1">IF('COUNCIL REPORT'!K$103=0,SUMIFS(OFFSET('Other data'!$H$8:$H$481,0,MATCH(K$176,'Other data'!$H$7:$V$7,0)-1),'Other data'!$C$8:$C$481,council,'Other data'!$D$8:$D$481,$A180),J179)</f>
        <v>84.334653688007435</v>
      </c>
      <c r="L180" s="11">
        <f ca="1">IF('COUNCIL REPORT'!L$103=0,SUMIFS(OFFSET('Other data'!$H$8:$H$481,0,MATCH(L$176,'Other data'!$H$7:$V$7,0)-1),'Other data'!$C$8:$C$481,council,'Other data'!$D$8:$D$481,$A180),K179)</f>
        <v>84.434546479108533</v>
      </c>
      <c r="M180" s="11">
        <f ca="1">IF('COUNCIL REPORT'!M$103=0,SUMIFS(OFFSET('Other data'!$H$8:$H$481,0,MATCH(M$176,'Other data'!$H$7:$V$7,0)-1),'Other data'!$C$8:$C$481,council,'Other data'!$D$8:$D$481,$A180),L179)</f>
        <v>84.530707001592319</v>
      </c>
      <c r="N180" s="11">
        <f ca="1">IF('COUNCIL REPORT'!N$103=0,SUMIFS(OFFSET('Other data'!$H$8:$H$481,0,MATCH(N$176,'Other data'!$H$7:$V$7,0)-1),'Other data'!$C$8:$C$481,council,'Other data'!$D$8:$D$481,$A180),M179)</f>
        <v>84.626859118405804</v>
      </c>
      <c r="O180" s="11">
        <f ca="1">IF('COUNCIL REPORT'!O$103=0,SUMIFS(OFFSET('Other data'!$H$8:$H$481,0,MATCH(O$176,'Other data'!$H$7:$V$7,0)-1),'Other data'!$C$8:$C$481,council,'Other data'!$D$8:$D$481,$A180),N179)</f>
        <v>84.730761450489865</v>
      </c>
      <c r="P180" s="11">
        <f ca="1">IF('COUNCIL REPORT'!P$103=0,SUMIFS(OFFSET('Other data'!$H$8:$H$481,0,MATCH(P$176,'Other data'!$H$7:$V$7,0)-1),'Other data'!$C$8:$C$481,council,'Other data'!$D$8:$D$481,$A180),O179)</f>
        <v>84.845071617319348</v>
      </c>
      <c r="Q180" s="11">
        <f ca="1">IF('COUNCIL REPORT'!Q$103=0,SUMIFS(OFFSET('Other data'!$H$8:$H$481,0,MATCH(Q$176,'Other data'!$H$7:$V$7,0)-1),'Other data'!$C$8:$C$481,council,'Other data'!$D$8:$D$481,$A180),P179)</f>
        <v>84.970507989124144</v>
      </c>
    </row>
    <row r="181" spans="1:17" x14ac:dyDescent="0.3">
      <c r="A181">
        <v>2</v>
      </c>
      <c r="B181" t="s">
        <v>303</v>
      </c>
      <c r="C181" s="11">
        <f ca="1">SUMIFS(OFFSET('Other data'!$H$8:$H$481,0,MATCH(C$176,'Other data'!$H$7:$V$7,0)-1),'Other data'!$C$8:$C$481,council,'Other data'!$D$8:$D$481,$A181)</f>
        <v>85.676056338028161</v>
      </c>
      <c r="D181" s="11">
        <f ca="1">IF('COUNCIL REPORT'!D$103=0,SUMIFS(OFFSET('Other data'!$H$8:$H$481,0,MATCH(D$176,'Other data'!$H$7:$V$7,0)-1),'Other data'!$C$8:$C$481,council,'Other data'!$D$8:$D$481,$A181),C180)</f>
        <v>87.406885758998442</v>
      </c>
      <c r="E181" s="11">
        <f ca="1">IF('COUNCIL REPORT'!E$103=0,SUMIFS(OFFSET('Other data'!$H$8:$H$481,0,MATCH(E$176,'Other data'!$H$7:$V$7,0)-1),'Other data'!$C$8:$C$481,council,'Other data'!$D$8:$D$481,$A181),D180)</f>
        <v>81.348982785602516</v>
      </c>
      <c r="F181" s="11">
        <f ca="1">IF('COUNCIL REPORT'!F$103=0,SUMIFS(OFFSET('Other data'!$H$8:$H$481,0,MATCH(F$176,'Other data'!$H$7:$V$7,0)-1),'Other data'!$C$8:$C$481,council,'Other data'!$D$8:$D$481,$A181),E180)</f>
        <v>84.116985831251185</v>
      </c>
      <c r="G181" s="11">
        <f ca="1">IF('COUNCIL REPORT'!G$103=0,SUMIFS(OFFSET('Other data'!$H$8:$H$481,0,MATCH(G$176,'Other data'!$H$7:$V$7,0)-1),'Other data'!$C$8:$C$481,council,'Other data'!$D$8:$D$481,$A181),F180)</f>
        <v>84.07478416579012</v>
      </c>
      <c r="H181" s="11">
        <f ca="1">IF('COUNCIL REPORT'!H$103=0,SUMIFS(OFFSET('Other data'!$H$8:$H$481,0,MATCH(H$176,'Other data'!$H$7:$V$7,0)-1),'Other data'!$C$8:$C$481,council,'Other data'!$D$8:$D$481,$A181),G180)</f>
        <v>84.060483119507595</v>
      </c>
      <c r="I181" s="11">
        <f ca="1">IF('COUNCIL REPORT'!I$103=0,SUMIFS(OFFSET('Other data'!$H$8:$H$481,0,MATCH(I$176,'Other data'!$H$7:$V$7,0)-1),'Other data'!$C$8:$C$481,council,'Other data'!$D$8:$D$481,$A181),H180)</f>
        <v>84.082626586849557</v>
      </c>
      <c r="J181" s="11">
        <f ca="1">IF('COUNCIL REPORT'!J$103=0,SUMIFS(OFFSET('Other data'!$H$8:$H$481,0,MATCH(J$176,'Other data'!$H$7:$V$7,0)-1),'Other data'!$C$8:$C$481,council,'Other data'!$D$8:$D$481,$A181),I180)</f>
        <v>84.129474347964006</v>
      </c>
      <c r="K181" s="11">
        <f ca="1">IF('COUNCIL REPORT'!K$103=0,SUMIFS(OFFSET('Other data'!$H$8:$H$481,0,MATCH(K$176,'Other data'!$H$7:$V$7,0)-1),'Other data'!$C$8:$C$481,council,'Other data'!$D$8:$D$481,$A181),J180)</f>
        <v>84.230210939286422</v>
      </c>
      <c r="L181" s="11">
        <f ca="1">IF('COUNCIL REPORT'!L$103=0,SUMIFS(OFFSET('Other data'!$H$8:$H$481,0,MATCH(L$176,'Other data'!$H$7:$V$7,0)-1),'Other data'!$C$8:$C$481,council,'Other data'!$D$8:$D$481,$A181),K180)</f>
        <v>84.334653688007435</v>
      </c>
      <c r="M181" s="11">
        <f ca="1">IF('COUNCIL REPORT'!M$103=0,SUMIFS(OFFSET('Other data'!$H$8:$H$481,0,MATCH(M$176,'Other data'!$H$7:$V$7,0)-1),'Other data'!$C$8:$C$481,council,'Other data'!$D$8:$D$481,$A181),L180)</f>
        <v>84.434546479108533</v>
      </c>
      <c r="N181" s="11">
        <f ca="1">IF('COUNCIL REPORT'!N$103=0,SUMIFS(OFFSET('Other data'!$H$8:$H$481,0,MATCH(N$176,'Other data'!$H$7:$V$7,0)-1),'Other data'!$C$8:$C$481,council,'Other data'!$D$8:$D$481,$A181),M180)</f>
        <v>84.530707001592319</v>
      </c>
      <c r="O181" s="11">
        <f ca="1">IF('COUNCIL REPORT'!O$103=0,SUMIFS(OFFSET('Other data'!$H$8:$H$481,0,MATCH(O$176,'Other data'!$H$7:$V$7,0)-1),'Other data'!$C$8:$C$481,council,'Other data'!$D$8:$D$481,$A181),N180)</f>
        <v>84.626859118405804</v>
      </c>
      <c r="P181" s="11">
        <f ca="1">IF('COUNCIL REPORT'!P$103=0,SUMIFS(OFFSET('Other data'!$H$8:$H$481,0,MATCH(P$176,'Other data'!$H$7:$V$7,0)-1),'Other data'!$C$8:$C$481,council,'Other data'!$D$8:$D$481,$A181),O180)</f>
        <v>84.730761450489865</v>
      </c>
      <c r="Q181" s="11">
        <f ca="1">IF('COUNCIL REPORT'!Q$103=0,SUMIFS(OFFSET('Other data'!$H$8:$H$481,0,MATCH(Q$176,'Other data'!$H$7:$V$7,0)-1),'Other data'!$C$8:$C$481,council,'Other data'!$D$8:$D$481,$A181),P180)</f>
        <v>84.845071617319348</v>
      </c>
    </row>
    <row r="182" spans="1:17" x14ac:dyDescent="0.3">
      <c r="A182">
        <v>3</v>
      </c>
      <c r="B182" t="s">
        <v>304</v>
      </c>
      <c r="C182" s="11">
        <f ca="1">SUMIFS(OFFSET('Other data'!$H$8:$H$481,0,MATCH(C$176,'Other data'!$H$7:$V$7,0)-1),'Other data'!$C$8:$C$481,council,'Other data'!$D$8:$D$481,$A182)</f>
        <v>95.19561815336462</v>
      </c>
      <c r="D182" s="11">
        <f ca="1">IF('COUNCIL REPORT'!D$103=0,SUMIFS(OFFSET('Other data'!$H$8:$H$481,0,MATCH(D$176,'Other data'!$H$7:$V$7,0)-1),'Other data'!$C$8:$C$481,council,'Other data'!$D$8:$D$481,$A182),C181)</f>
        <v>85.676056338028161</v>
      </c>
      <c r="E182" s="11">
        <f ca="1">IF('COUNCIL REPORT'!E$103=0,SUMIFS(OFFSET('Other data'!$H$8:$H$481,0,MATCH(E$176,'Other data'!$H$7:$V$7,0)-1),'Other data'!$C$8:$C$481,council,'Other data'!$D$8:$D$481,$A182),D181)</f>
        <v>87.406885758998442</v>
      </c>
      <c r="F182" s="11">
        <f ca="1">IF('COUNCIL REPORT'!F$103=0,SUMIFS(OFFSET('Other data'!$H$8:$H$481,0,MATCH(F$176,'Other data'!$H$7:$V$7,0)-1),'Other data'!$C$8:$C$481,council,'Other data'!$D$8:$D$481,$A182),E181)</f>
        <v>81.348982785602516</v>
      </c>
      <c r="G182" s="11">
        <f ca="1">IF('COUNCIL REPORT'!G$103=0,SUMIFS(OFFSET('Other data'!$H$8:$H$481,0,MATCH(G$176,'Other data'!$H$7:$V$7,0)-1),'Other data'!$C$8:$C$481,council,'Other data'!$D$8:$D$481,$A182),F181)</f>
        <v>84.116985831251185</v>
      </c>
      <c r="H182" s="11">
        <f ca="1">IF('COUNCIL REPORT'!H$103=0,SUMIFS(OFFSET('Other data'!$H$8:$H$481,0,MATCH(H$176,'Other data'!$H$7:$V$7,0)-1),'Other data'!$C$8:$C$481,council,'Other data'!$D$8:$D$481,$A182),G181)</f>
        <v>84.07478416579012</v>
      </c>
      <c r="I182" s="11">
        <f ca="1">IF('COUNCIL REPORT'!I$103=0,SUMIFS(OFFSET('Other data'!$H$8:$H$481,0,MATCH(I$176,'Other data'!$H$7:$V$7,0)-1),'Other data'!$C$8:$C$481,council,'Other data'!$D$8:$D$481,$A182),H181)</f>
        <v>84.060483119507595</v>
      </c>
      <c r="J182" s="11">
        <f ca="1">IF('COUNCIL REPORT'!J$103=0,SUMIFS(OFFSET('Other data'!$H$8:$H$481,0,MATCH(J$176,'Other data'!$H$7:$V$7,0)-1),'Other data'!$C$8:$C$481,council,'Other data'!$D$8:$D$481,$A182),I181)</f>
        <v>84.082626586849557</v>
      </c>
      <c r="K182" s="11">
        <f ca="1">IF('COUNCIL REPORT'!K$103=0,SUMIFS(OFFSET('Other data'!$H$8:$H$481,0,MATCH(K$176,'Other data'!$H$7:$V$7,0)-1),'Other data'!$C$8:$C$481,council,'Other data'!$D$8:$D$481,$A182),J181)</f>
        <v>84.129474347964006</v>
      </c>
      <c r="L182" s="11">
        <f ca="1">IF('COUNCIL REPORT'!L$103=0,SUMIFS(OFFSET('Other data'!$H$8:$H$481,0,MATCH(L$176,'Other data'!$H$7:$V$7,0)-1),'Other data'!$C$8:$C$481,council,'Other data'!$D$8:$D$481,$A182),K181)</f>
        <v>84.230210939286422</v>
      </c>
      <c r="M182" s="11">
        <f ca="1">IF('COUNCIL REPORT'!M$103=0,SUMIFS(OFFSET('Other data'!$H$8:$H$481,0,MATCH(M$176,'Other data'!$H$7:$V$7,0)-1),'Other data'!$C$8:$C$481,council,'Other data'!$D$8:$D$481,$A182),L181)</f>
        <v>84.334653688007435</v>
      </c>
      <c r="N182" s="11">
        <f ca="1">IF('COUNCIL REPORT'!N$103=0,SUMIFS(OFFSET('Other data'!$H$8:$H$481,0,MATCH(N$176,'Other data'!$H$7:$V$7,0)-1),'Other data'!$C$8:$C$481,council,'Other data'!$D$8:$D$481,$A182),M181)</f>
        <v>84.434546479108533</v>
      </c>
      <c r="O182" s="11">
        <f ca="1">IF('COUNCIL REPORT'!O$103=0,SUMIFS(OFFSET('Other data'!$H$8:$H$481,0,MATCH(O$176,'Other data'!$H$7:$V$7,0)-1),'Other data'!$C$8:$C$481,council,'Other data'!$D$8:$D$481,$A182),N181)</f>
        <v>84.530707001592319</v>
      </c>
      <c r="P182" s="11">
        <f ca="1">IF('COUNCIL REPORT'!P$103=0,SUMIFS(OFFSET('Other data'!$H$8:$H$481,0,MATCH(P$176,'Other data'!$H$7:$V$7,0)-1),'Other data'!$C$8:$C$481,council,'Other data'!$D$8:$D$481,$A182),O181)</f>
        <v>84.626859118405804</v>
      </c>
      <c r="Q182" s="11">
        <f ca="1">IF('COUNCIL REPORT'!Q$103=0,SUMIFS(OFFSET('Other data'!$H$8:$H$481,0,MATCH(Q$176,'Other data'!$H$7:$V$7,0)-1),'Other data'!$C$8:$C$481,council,'Other data'!$D$8:$D$481,$A182),P181)</f>
        <v>84.730761450489865</v>
      </c>
    </row>
    <row r="183" spans="1:17" x14ac:dyDescent="0.3">
      <c r="A183">
        <v>4</v>
      </c>
      <c r="B183" t="s">
        <v>305</v>
      </c>
      <c r="C183" s="11">
        <f ca="1">SUMIFS(OFFSET('Other data'!$H$8:$H$481,0,MATCH(C$176,'Other data'!$H$7:$V$7,0)-1),'Other data'!$C$8:$C$481,council,'Other data'!$D$8:$D$481,$A183)</f>
        <v>102.98435054773083</v>
      </c>
      <c r="D183" s="11">
        <f ca="1">IF('COUNCIL REPORT'!D$103=0,SUMIFS(OFFSET('Other data'!$H$8:$H$481,0,MATCH(D$176,'Other data'!$H$7:$V$7,0)-1),'Other data'!$C$8:$C$481,council,'Other data'!$D$8:$D$481,$A183),C182)</f>
        <v>95.19561815336462</v>
      </c>
      <c r="E183" s="11">
        <f ca="1">IF('COUNCIL REPORT'!E$103=0,SUMIFS(OFFSET('Other data'!$H$8:$H$481,0,MATCH(E$176,'Other data'!$H$7:$V$7,0)-1),'Other data'!$C$8:$C$481,council,'Other data'!$D$8:$D$481,$A183),D182)</f>
        <v>85.676056338028161</v>
      </c>
      <c r="F183" s="11">
        <f ca="1">IF('COUNCIL REPORT'!F$103=0,SUMIFS(OFFSET('Other data'!$H$8:$H$481,0,MATCH(F$176,'Other data'!$H$7:$V$7,0)-1),'Other data'!$C$8:$C$481,council,'Other data'!$D$8:$D$481,$A183),E182)</f>
        <v>87.406885758998442</v>
      </c>
      <c r="G183" s="11">
        <f ca="1">IF('COUNCIL REPORT'!G$103=0,SUMIFS(OFFSET('Other data'!$H$8:$H$481,0,MATCH(G$176,'Other data'!$H$7:$V$7,0)-1),'Other data'!$C$8:$C$481,council,'Other data'!$D$8:$D$481,$A183),F182)</f>
        <v>81.348982785602516</v>
      </c>
      <c r="H183" s="11">
        <f ca="1">IF('COUNCIL REPORT'!H$103=0,SUMIFS(OFFSET('Other data'!$H$8:$H$481,0,MATCH(H$176,'Other data'!$H$7:$V$7,0)-1),'Other data'!$C$8:$C$481,council,'Other data'!$D$8:$D$481,$A183),G182)</f>
        <v>84.116985831251185</v>
      </c>
      <c r="I183" s="11">
        <f ca="1">IF('COUNCIL REPORT'!I$103=0,SUMIFS(OFFSET('Other data'!$H$8:$H$481,0,MATCH(I$176,'Other data'!$H$7:$V$7,0)-1),'Other data'!$C$8:$C$481,council,'Other data'!$D$8:$D$481,$A183),H182)</f>
        <v>84.07478416579012</v>
      </c>
      <c r="J183" s="11">
        <f ca="1">IF('COUNCIL REPORT'!J$103=0,SUMIFS(OFFSET('Other data'!$H$8:$H$481,0,MATCH(J$176,'Other data'!$H$7:$V$7,0)-1),'Other data'!$C$8:$C$481,council,'Other data'!$D$8:$D$481,$A183),I182)</f>
        <v>84.060483119507595</v>
      </c>
      <c r="K183" s="11">
        <f ca="1">IF('COUNCIL REPORT'!K$103=0,SUMIFS(OFFSET('Other data'!$H$8:$H$481,0,MATCH(K$176,'Other data'!$H$7:$V$7,0)-1),'Other data'!$C$8:$C$481,council,'Other data'!$D$8:$D$481,$A183),J182)</f>
        <v>84.082626586849557</v>
      </c>
      <c r="L183" s="11">
        <f ca="1">IF('COUNCIL REPORT'!L$103=0,SUMIFS(OFFSET('Other data'!$H$8:$H$481,0,MATCH(L$176,'Other data'!$H$7:$V$7,0)-1),'Other data'!$C$8:$C$481,council,'Other data'!$D$8:$D$481,$A183),K182)</f>
        <v>84.129474347964006</v>
      </c>
      <c r="M183" s="11">
        <f ca="1">IF('COUNCIL REPORT'!M$103=0,SUMIFS(OFFSET('Other data'!$H$8:$H$481,0,MATCH(M$176,'Other data'!$H$7:$V$7,0)-1),'Other data'!$C$8:$C$481,council,'Other data'!$D$8:$D$481,$A183),L182)</f>
        <v>84.230210939286422</v>
      </c>
      <c r="N183" s="11">
        <f ca="1">IF('COUNCIL REPORT'!N$103=0,SUMIFS(OFFSET('Other data'!$H$8:$H$481,0,MATCH(N$176,'Other data'!$H$7:$V$7,0)-1),'Other data'!$C$8:$C$481,council,'Other data'!$D$8:$D$481,$A183),M182)</f>
        <v>84.334653688007435</v>
      </c>
      <c r="O183" s="11">
        <f ca="1">IF('COUNCIL REPORT'!O$103=0,SUMIFS(OFFSET('Other data'!$H$8:$H$481,0,MATCH(O$176,'Other data'!$H$7:$V$7,0)-1),'Other data'!$C$8:$C$481,council,'Other data'!$D$8:$D$481,$A183),N182)</f>
        <v>84.434546479108533</v>
      </c>
      <c r="P183" s="11">
        <f ca="1">IF('COUNCIL REPORT'!P$103=0,SUMIFS(OFFSET('Other data'!$H$8:$H$481,0,MATCH(P$176,'Other data'!$H$7:$V$7,0)-1),'Other data'!$C$8:$C$481,council,'Other data'!$D$8:$D$481,$A183),O182)</f>
        <v>84.530707001592319</v>
      </c>
      <c r="Q183" s="11">
        <f ca="1">IF('COUNCIL REPORT'!Q$103=0,SUMIFS(OFFSET('Other data'!$H$8:$H$481,0,MATCH(Q$176,'Other data'!$H$7:$V$7,0)-1),'Other data'!$C$8:$C$481,council,'Other data'!$D$8:$D$481,$A183),P182)</f>
        <v>84.626859118405804</v>
      </c>
    </row>
    <row r="184" spans="1:17" x14ac:dyDescent="0.3">
      <c r="A184">
        <v>5</v>
      </c>
      <c r="B184" t="s">
        <v>306</v>
      </c>
      <c r="C184" s="11">
        <f ca="1">SUMIFS(OFFSET('Other data'!$H$8:$H$481,0,MATCH(C$176,'Other data'!$H$7:$V$7,0)-1),'Other data'!$C$8:$C$481,council,'Other data'!$D$8:$D$481,$A184)</f>
        <v>133.0641627543036</v>
      </c>
      <c r="D184" s="11">
        <f ca="1">IF('COUNCIL REPORT'!D$103=0,SUMIFS(OFFSET('Other data'!$H$8:$H$481,0,MATCH(D$176,'Other data'!$H$7:$V$7,0)-1),'Other data'!$C$8:$C$481,council,'Other data'!$D$8:$D$481,$A184),C183)</f>
        <v>102.98435054773083</v>
      </c>
      <c r="E184" s="11">
        <f ca="1">IF('COUNCIL REPORT'!E$103=0,SUMIFS(OFFSET('Other data'!$H$8:$H$481,0,MATCH(E$176,'Other data'!$H$7:$V$7,0)-1),'Other data'!$C$8:$C$481,council,'Other data'!$D$8:$D$481,$A184),D183)</f>
        <v>95.19561815336462</v>
      </c>
      <c r="F184" s="11">
        <f ca="1">IF('COUNCIL REPORT'!F$103=0,SUMIFS(OFFSET('Other data'!$H$8:$H$481,0,MATCH(F$176,'Other data'!$H$7:$V$7,0)-1),'Other data'!$C$8:$C$481,council,'Other data'!$D$8:$D$481,$A184),E183)</f>
        <v>85.676056338028161</v>
      </c>
      <c r="G184" s="11">
        <f ca="1">IF('COUNCIL REPORT'!G$103=0,SUMIFS(OFFSET('Other data'!$H$8:$H$481,0,MATCH(G$176,'Other data'!$H$7:$V$7,0)-1),'Other data'!$C$8:$C$481,council,'Other data'!$D$8:$D$481,$A184),F183)</f>
        <v>87.406885758998442</v>
      </c>
      <c r="H184" s="11">
        <f ca="1">IF('COUNCIL REPORT'!H$103=0,SUMIFS(OFFSET('Other data'!$H$8:$H$481,0,MATCH(H$176,'Other data'!$H$7:$V$7,0)-1),'Other data'!$C$8:$C$481,council,'Other data'!$D$8:$D$481,$A184),G183)</f>
        <v>81.348982785602516</v>
      </c>
      <c r="I184" s="11">
        <f ca="1">IF('COUNCIL REPORT'!I$103=0,SUMIFS(OFFSET('Other data'!$H$8:$H$481,0,MATCH(I$176,'Other data'!$H$7:$V$7,0)-1),'Other data'!$C$8:$C$481,council,'Other data'!$D$8:$D$481,$A184),H183)</f>
        <v>84.116985831251185</v>
      </c>
      <c r="J184" s="11">
        <f ca="1">IF('COUNCIL REPORT'!J$103=0,SUMIFS(OFFSET('Other data'!$H$8:$H$481,0,MATCH(J$176,'Other data'!$H$7:$V$7,0)-1),'Other data'!$C$8:$C$481,council,'Other data'!$D$8:$D$481,$A184),I183)</f>
        <v>84.07478416579012</v>
      </c>
      <c r="K184" s="11">
        <f ca="1">IF('COUNCIL REPORT'!K$103=0,SUMIFS(OFFSET('Other data'!$H$8:$H$481,0,MATCH(K$176,'Other data'!$H$7:$V$7,0)-1),'Other data'!$C$8:$C$481,council,'Other data'!$D$8:$D$481,$A184),J183)</f>
        <v>84.060483119507595</v>
      </c>
      <c r="L184" s="11">
        <f ca="1">IF('COUNCIL REPORT'!L$103=0,SUMIFS(OFFSET('Other data'!$H$8:$H$481,0,MATCH(L$176,'Other data'!$H$7:$V$7,0)-1),'Other data'!$C$8:$C$481,council,'Other data'!$D$8:$D$481,$A184),K183)</f>
        <v>84.082626586849557</v>
      </c>
      <c r="M184" s="11">
        <f ca="1">IF('COUNCIL REPORT'!M$103=0,SUMIFS(OFFSET('Other data'!$H$8:$H$481,0,MATCH(M$176,'Other data'!$H$7:$V$7,0)-1),'Other data'!$C$8:$C$481,council,'Other data'!$D$8:$D$481,$A184),L183)</f>
        <v>84.129474347964006</v>
      </c>
      <c r="N184" s="11">
        <f ca="1">IF('COUNCIL REPORT'!N$103=0,SUMIFS(OFFSET('Other data'!$H$8:$H$481,0,MATCH(N$176,'Other data'!$H$7:$V$7,0)-1),'Other data'!$C$8:$C$481,council,'Other data'!$D$8:$D$481,$A184),M183)</f>
        <v>84.230210939286422</v>
      </c>
      <c r="O184" s="11">
        <f ca="1">IF('COUNCIL REPORT'!O$103=0,SUMIFS(OFFSET('Other data'!$H$8:$H$481,0,MATCH(O$176,'Other data'!$H$7:$V$7,0)-1),'Other data'!$C$8:$C$481,council,'Other data'!$D$8:$D$481,$A184),N183)</f>
        <v>84.334653688007435</v>
      </c>
      <c r="P184" s="11">
        <f ca="1">IF('COUNCIL REPORT'!P$103=0,SUMIFS(OFFSET('Other data'!$H$8:$H$481,0,MATCH(P$176,'Other data'!$H$7:$V$7,0)-1),'Other data'!$C$8:$C$481,council,'Other data'!$D$8:$D$481,$A184),O183)</f>
        <v>84.434546479108533</v>
      </c>
      <c r="Q184" s="11">
        <f ca="1">IF('COUNCIL REPORT'!Q$103=0,SUMIFS(OFFSET('Other data'!$H$8:$H$481,0,MATCH(Q$176,'Other data'!$H$7:$V$7,0)-1),'Other data'!$C$8:$C$481,council,'Other data'!$D$8:$D$481,$A184),P183)</f>
        <v>84.530707001592319</v>
      </c>
    </row>
    <row r="185" spans="1:17" x14ac:dyDescent="0.3">
      <c r="B185" s="4" t="s">
        <v>109</v>
      </c>
      <c r="C185" s="133">
        <f t="shared" ref="C185:Q185" ca="1" si="90">SUM(C$179:C$184)</f>
        <v>585.67605633802827</v>
      </c>
      <c r="D185" s="133">
        <f t="shared" ca="1" si="90"/>
        <v>536.72887941497584</v>
      </c>
      <c r="E185" s="133">
        <f t="shared" ca="1" si="90"/>
        <v>517.81931303303509</v>
      </c>
      <c r="F185" s="133">
        <f t="shared" ca="1" si="90"/>
        <v>506.68417799917802</v>
      </c>
      <c r="G185" s="133">
        <f t="shared" ca="1" si="90"/>
        <v>505.09074824799939</v>
      </c>
      <c r="H185" s="133">
        <f t="shared" ca="1" si="90"/>
        <v>501.81333683696494</v>
      </c>
      <c r="I185" s="133">
        <f t="shared" ca="1" si="90"/>
        <v>504.69456499064893</v>
      </c>
      <c r="J185" s="133">
        <f t="shared" ca="1" si="90"/>
        <v>504.91223284740511</v>
      </c>
      <c r="K185" s="133">
        <f t="shared" ca="1" si="90"/>
        <v>505.27199516072358</v>
      </c>
      <c r="L185" s="133">
        <f t="shared" ca="1" si="90"/>
        <v>505.74221904280819</v>
      </c>
      <c r="M185" s="133">
        <f t="shared" ca="1" si="90"/>
        <v>506.28645157436449</v>
      </c>
      <c r="N185" s="133">
        <f t="shared" ca="1" si="90"/>
        <v>506.88773867689042</v>
      </c>
      <c r="O185" s="133">
        <f t="shared" ca="1" si="90"/>
        <v>507.50259935492329</v>
      </c>
      <c r="P185" s="133">
        <f t="shared" ca="1" si="90"/>
        <v>508.13845365603999</v>
      </c>
      <c r="Q185" s="133">
        <f t="shared" ca="1" si="90"/>
        <v>508.79277216890637</v>
      </c>
    </row>
    <row r="187" spans="1:17" x14ac:dyDescent="0.3">
      <c r="A187">
        <v>0</v>
      </c>
      <c r="B187" t="s">
        <v>301</v>
      </c>
      <c r="C187" s="17">
        <f t="shared" ref="C187:Q187" ca="1" si="91">C179/C$185</f>
        <v>0.13889757299323707</v>
      </c>
      <c r="D187" s="17">
        <f t="shared" ca="1" si="91"/>
        <v>0.15672155730270576</v>
      </c>
      <c r="E187" s="17">
        <f t="shared" ca="1" si="91"/>
        <v>0.16236316809687329</v>
      </c>
      <c r="F187" s="17">
        <f t="shared" ca="1" si="91"/>
        <v>0.16590311434521243</v>
      </c>
      <c r="G187" s="17">
        <f t="shared" ca="1" si="91"/>
        <v>0.16647033603071465</v>
      </c>
      <c r="H187" s="17">
        <f t="shared" ca="1" si="91"/>
        <v>0.16765093346910584</v>
      </c>
      <c r="I187" s="17">
        <f t="shared" ca="1" si="91"/>
        <v>0.16689343769899137</v>
      </c>
      <c r="J187" s="17">
        <f t="shared" ca="1" si="91"/>
        <v>0.16702834314868958</v>
      </c>
      <c r="K187" s="17">
        <f t="shared" ca="1" si="91"/>
        <v>0.16710711713252677</v>
      </c>
      <c r="L187" s="17">
        <f t="shared" ca="1" si="91"/>
        <v>0.16714188339185754</v>
      </c>
      <c r="M187" s="17">
        <f t="shared" ca="1" si="91"/>
        <v>0.16715213068658547</v>
      </c>
      <c r="N187" s="17">
        <f t="shared" ca="1" si="91"/>
        <v>0.16715883022078876</v>
      </c>
      <c r="O187" s="17">
        <f t="shared" ca="1" si="91"/>
        <v>0.16718155084361</v>
      </c>
      <c r="P187" s="17">
        <f t="shared" ca="1" si="91"/>
        <v>0.16721920448602945</v>
      </c>
      <c r="Q187" s="17">
        <f t="shared" ca="1" si="91"/>
        <v>0.16723678017133375</v>
      </c>
    </row>
    <row r="188" spans="1:17" x14ac:dyDescent="0.3">
      <c r="A188">
        <v>1</v>
      </c>
      <c r="B188" t="s">
        <v>302</v>
      </c>
      <c r="C188" s="17">
        <f t="shared" ref="C188:Q188" ca="1" si="92">C180/C$185</f>
        <v>0.1492410092799675</v>
      </c>
      <c r="D188" s="17">
        <f t="shared" ca="1" si="92"/>
        <v>0.15156438549435117</v>
      </c>
      <c r="E188" s="17">
        <f t="shared" ca="1" si="92"/>
        <v>0.16244466692165421</v>
      </c>
      <c r="F188" s="17">
        <f t="shared" ca="1" si="92"/>
        <v>0.16593133911895411</v>
      </c>
      <c r="G188" s="17">
        <f t="shared" ca="1" si="92"/>
        <v>0.16642649545866148</v>
      </c>
      <c r="H188" s="17">
        <f t="shared" ca="1" si="92"/>
        <v>0.16755757652205908</v>
      </c>
      <c r="I188" s="17">
        <f t="shared" ca="1" si="92"/>
        <v>0.16669383857843362</v>
      </c>
      <c r="J188" s="17">
        <f t="shared" ca="1" si="92"/>
        <v>0.16682148987414716</v>
      </c>
      <c r="K188" s="17">
        <f t="shared" ca="1" si="92"/>
        <v>0.16690941610801358</v>
      </c>
      <c r="L188" s="17">
        <f t="shared" ca="1" si="92"/>
        <v>0.16695174596835791</v>
      </c>
      <c r="M188" s="17">
        <f t="shared" ca="1" si="92"/>
        <v>0.16696221425387334</v>
      </c>
      <c r="N188" s="17">
        <f t="shared" ca="1" si="92"/>
        <v>0.16695384926710605</v>
      </c>
      <c r="O188" s="17">
        <f t="shared" ca="1" si="92"/>
        <v>0.16695631028922708</v>
      </c>
      <c r="P188" s="17">
        <f t="shared" ca="1" si="92"/>
        <v>0.1669723497736921</v>
      </c>
      <c r="Q188" s="17">
        <f t="shared" ca="1" si="92"/>
        <v>0.16700415697123167</v>
      </c>
    </row>
    <row r="189" spans="1:17" x14ac:dyDescent="0.3">
      <c r="A189">
        <v>2</v>
      </c>
      <c r="B189" t="s">
        <v>303</v>
      </c>
      <c r="C189" s="17">
        <f t="shared" ref="C189:Q189" ca="1" si="93">C181/C$185</f>
        <v>0.14628574176947307</v>
      </c>
      <c r="D189" s="17">
        <f t="shared" ca="1" si="93"/>
        <v>0.16285109505244114</v>
      </c>
      <c r="E189" s="17">
        <f t="shared" ca="1" si="93"/>
        <v>0.15709916709964955</v>
      </c>
      <c r="F189" s="17">
        <f t="shared" ca="1" si="93"/>
        <v>0.16601462900108091</v>
      </c>
      <c r="G189" s="17">
        <f t="shared" ca="1" si="93"/>
        <v>0.16645480927421269</v>
      </c>
      <c r="H189" s="17">
        <f t="shared" ca="1" si="93"/>
        <v>0.16751344962124465</v>
      </c>
      <c r="I189" s="17">
        <f t="shared" ca="1" si="93"/>
        <v>0.1666010145926724</v>
      </c>
      <c r="J189" s="17">
        <f t="shared" ca="1" si="93"/>
        <v>0.16662197680084664</v>
      </c>
      <c r="K189" s="17">
        <f t="shared" ca="1" si="93"/>
        <v>0.16670271011654497</v>
      </c>
      <c r="L189" s="17">
        <f t="shared" ca="1" si="93"/>
        <v>0.16675422876030246</v>
      </c>
      <c r="M189" s="17">
        <f t="shared" ca="1" si="93"/>
        <v>0.16677228121856347</v>
      </c>
      <c r="N189" s="17">
        <f t="shared" ca="1" si="93"/>
        <v>0.16676415811958595</v>
      </c>
      <c r="O189" s="17">
        <f t="shared" ca="1" si="93"/>
        <v>0.16675157767856433</v>
      </c>
      <c r="P189" s="17">
        <f t="shared" ca="1" si="93"/>
        <v>0.16674739107197012</v>
      </c>
      <c r="Q189" s="17">
        <f t="shared" ca="1" si="93"/>
        <v>0.16675761971939515</v>
      </c>
    </row>
    <row r="190" spans="1:17" x14ac:dyDescent="0.3">
      <c r="A190">
        <v>3</v>
      </c>
      <c r="B190" t="s">
        <v>304</v>
      </c>
      <c r="C190" s="17">
        <f t="shared" ref="C190:Q190" ca="1" si="94">C182/C$185</f>
        <v>0.16253971307719228</v>
      </c>
      <c r="D190" s="17">
        <f t="shared" ca="1" si="94"/>
        <v>0.15962632089298681</v>
      </c>
      <c r="E190" s="17">
        <f t="shared" ca="1" si="94"/>
        <v>0.16879804124536812</v>
      </c>
      <c r="F190" s="17">
        <f t="shared" ca="1" si="94"/>
        <v>0.16055165390566919</v>
      </c>
      <c r="G190" s="17">
        <f t="shared" ca="1" si="94"/>
        <v>0.16653836191422333</v>
      </c>
      <c r="H190" s="17">
        <f t="shared" ca="1" si="94"/>
        <v>0.16754194835819067</v>
      </c>
      <c r="I190" s="17">
        <f t="shared" ca="1" si="94"/>
        <v>0.16655713960594182</v>
      </c>
      <c r="J190" s="17">
        <f t="shared" ca="1" si="94"/>
        <v>0.16652919283154119</v>
      </c>
      <c r="K190" s="17">
        <f t="shared" ca="1" si="94"/>
        <v>0.16650333909996931</v>
      </c>
      <c r="L190" s="17">
        <f t="shared" ca="1" si="94"/>
        <v>0.16654771495783866</v>
      </c>
      <c r="M190" s="17">
        <f t="shared" ca="1" si="94"/>
        <v>0.1665749763315959</v>
      </c>
      <c r="N190" s="17">
        <f t="shared" ca="1" si="94"/>
        <v>0.16657445038916266</v>
      </c>
      <c r="O190" s="17">
        <f t="shared" ca="1" si="94"/>
        <v>0.16656211634982296</v>
      </c>
      <c r="P190" s="17">
        <f t="shared" ca="1" si="94"/>
        <v>0.16654291465154478</v>
      </c>
      <c r="Q190" s="17">
        <f t="shared" ca="1" si="94"/>
        <v>0.16653295031943061</v>
      </c>
    </row>
    <row r="191" spans="1:17" x14ac:dyDescent="0.3">
      <c r="A191">
        <v>4</v>
      </c>
      <c r="B191" t="s">
        <v>305</v>
      </c>
      <c r="C191" s="17">
        <f t="shared" ref="C191:Q191" ca="1" si="95">C183/C$185</f>
        <v>0.17583841687441712</v>
      </c>
      <c r="D191" s="17">
        <f t="shared" ca="1" si="95"/>
        <v>0.17736257876998535</v>
      </c>
      <c r="E191" s="17">
        <f t="shared" ca="1" si="95"/>
        <v>0.16545550577516277</v>
      </c>
      <c r="F191" s="17">
        <f t="shared" ca="1" si="95"/>
        <v>0.17250762813268711</v>
      </c>
      <c r="G191" s="17">
        <f t="shared" ca="1" si="95"/>
        <v>0.16105815255531108</v>
      </c>
      <c r="H191" s="17">
        <f t="shared" ca="1" si="95"/>
        <v>0.16762604669189993</v>
      </c>
      <c r="I191" s="17">
        <f t="shared" ca="1" si="95"/>
        <v>0.16658547564772741</v>
      </c>
      <c r="J191" s="17">
        <f t="shared" ca="1" si="95"/>
        <v>0.16648533675933419</v>
      </c>
      <c r="K191" s="17">
        <f t="shared" ca="1" si="95"/>
        <v>0.16641062119443895</v>
      </c>
      <c r="L191" s="17">
        <f t="shared" ca="1" si="95"/>
        <v>0.16634852931042904</v>
      </c>
      <c r="M191" s="17">
        <f t="shared" ca="1" si="95"/>
        <v>0.16636868452110751</v>
      </c>
      <c r="N191" s="17">
        <f t="shared" ca="1" si="95"/>
        <v>0.16637737955181742</v>
      </c>
      <c r="O191" s="17">
        <f t="shared" ca="1" si="95"/>
        <v>0.16637263845826927</v>
      </c>
      <c r="P191" s="17">
        <f t="shared" ca="1" si="95"/>
        <v>0.16635369040346498</v>
      </c>
      <c r="Q191" s="17">
        <f t="shared" ca="1" si="95"/>
        <v>0.16632873686010582</v>
      </c>
    </row>
    <row r="192" spans="1:17" x14ac:dyDescent="0.3">
      <c r="A192">
        <v>5</v>
      </c>
      <c r="B192" t="s">
        <v>306</v>
      </c>
      <c r="C192" s="17">
        <f t="shared" ref="C192:Q192" ca="1" si="96">C184/C$185</f>
        <v>0.22719754600571276</v>
      </c>
      <c r="D192" s="17">
        <f t="shared" ca="1" si="96"/>
        <v>0.19187406248752961</v>
      </c>
      <c r="E192" s="17">
        <f t="shared" ca="1" si="96"/>
        <v>0.18383945086129197</v>
      </c>
      <c r="F192" s="17">
        <f t="shared" ca="1" si="96"/>
        <v>0.16909163549639625</v>
      </c>
      <c r="G192" s="17">
        <f t="shared" ca="1" si="96"/>
        <v>0.17305184476687679</v>
      </c>
      <c r="H192" s="17">
        <f t="shared" ca="1" si="96"/>
        <v>0.16211004533749995</v>
      </c>
      <c r="I192" s="17">
        <f t="shared" ca="1" si="96"/>
        <v>0.16666909387623327</v>
      </c>
      <c r="J192" s="17">
        <f t="shared" ca="1" si="96"/>
        <v>0.16651366058544131</v>
      </c>
      <c r="K192" s="17">
        <f t="shared" ca="1" si="96"/>
        <v>0.16636679634850637</v>
      </c>
      <c r="L192" s="17">
        <f t="shared" ca="1" si="96"/>
        <v>0.16625589761121454</v>
      </c>
      <c r="M192" s="17">
        <f t="shared" ca="1" si="96"/>
        <v>0.16616971298827435</v>
      </c>
      <c r="N192" s="17">
        <f t="shared" ca="1" si="96"/>
        <v>0.16617133245153909</v>
      </c>
      <c r="O192" s="17">
        <f t="shared" ca="1" si="96"/>
        <v>0.16617580638050639</v>
      </c>
      <c r="P192" s="17">
        <f t="shared" ca="1" si="96"/>
        <v>0.16616444961329863</v>
      </c>
      <c r="Q192" s="17">
        <f t="shared" ca="1" si="96"/>
        <v>0.166139755958503</v>
      </c>
    </row>
    <row r="195" spans="1:61" ht="56" x14ac:dyDescent="0.3">
      <c r="C195" s="114" t="s">
        <v>385</v>
      </c>
      <c r="D195" s="114" t="s">
        <v>195</v>
      </c>
      <c r="E195" s="114" t="s">
        <v>197</v>
      </c>
      <c r="F195" s="114" t="s">
        <v>196</v>
      </c>
      <c r="G195" s="114" t="s">
        <v>196</v>
      </c>
      <c r="H195" s="114"/>
      <c r="I195" s="114"/>
    </row>
    <row r="196" spans="1:61" x14ac:dyDescent="0.3">
      <c r="B196" s="4" t="s">
        <v>405</v>
      </c>
      <c r="C196" s="115" t="s">
        <v>386</v>
      </c>
      <c r="D196" s="115" t="s">
        <v>387</v>
      </c>
      <c r="E196" s="115" t="s">
        <v>387</v>
      </c>
      <c r="F196" s="115" t="s">
        <v>386</v>
      </c>
      <c r="G196" s="115" t="s">
        <v>387</v>
      </c>
      <c r="H196" s="115"/>
      <c r="I196" s="115"/>
      <c r="M196" s="121">
        <f>baseline-2</f>
        <v>2015</v>
      </c>
      <c r="N196" s="122">
        <f>baseline-1</f>
        <v>2016</v>
      </c>
      <c r="O196" s="123">
        <f>baseline</f>
        <v>2017</v>
      </c>
      <c r="P196" s="121">
        <f>baseline-2</f>
        <v>2015</v>
      </c>
      <c r="Q196" s="122">
        <f>baseline-1</f>
        <v>2016</v>
      </c>
      <c r="R196" s="123">
        <f>baseline</f>
        <v>2017</v>
      </c>
      <c r="S196" s="121">
        <f>baseline-2</f>
        <v>2015</v>
      </c>
      <c r="T196" s="122">
        <f>baseline-1</f>
        <v>2016</v>
      </c>
      <c r="U196" s="123">
        <f>baseline</f>
        <v>2017</v>
      </c>
      <c r="V196" s="121">
        <f>baseline-2</f>
        <v>2015</v>
      </c>
      <c r="W196" s="122">
        <f>baseline-1</f>
        <v>2016</v>
      </c>
      <c r="X196" s="123">
        <f>baseline</f>
        <v>2017</v>
      </c>
      <c r="Y196" s="121">
        <f>baseline-2</f>
        <v>2015</v>
      </c>
      <c r="Z196" s="122">
        <f>baseline-1</f>
        <v>2016</v>
      </c>
      <c r="AA196" s="123">
        <f>baseline</f>
        <v>2017</v>
      </c>
      <c r="AB196" s="121"/>
      <c r="AC196" s="122"/>
      <c r="AD196" s="123"/>
      <c r="AE196" s="121"/>
      <c r="AF196" s="122"/>
      <c r="AG196" s="123"/>
      <c r="AI196" s="121">
        <f>baseline-2</f>
        <v>2015</v>
      </c>
      <c r="AJ196" s="122">
        <f>baseline-1</f>
        <v>2016</v>
      </c>
      <c r="AK196" s="123">
        <f>baseline</f>
        <v>2017</v>
      </c>
      <c r="AL196" s="121">
        <f>baseline-2</f>
        <v>2015</v>
      </c>
      <c r="AM196" s="122">
        <f>baseline-1</f>
        <v>2016</v>
      </c>
      <c r="AN196" s="123">
        <f>baseline</f>
        <v>2017</v>
      </c>
      <c r="AO196" s="121">
        <f>baseline-2</f>
        <v>2015</v>
      </c>
      <c r="AP196" s="122">
        <f>baseline-1</f>
        <v>2016</v>
      </c>
      <c r="AQ196" s="123">
        <f>baseline</f>
        <v>2017</v>
      </c>
      <c r="AR196" s="121">
        <f>baseline-2</f>
        <v>2015</v>
      </c>
      <c r="AS196" s="122">
        <f>baseline-1</f>
        <v>2016</v>
      </c>
      <c r="AT196" s="123">
        <f>baseline</f>
        <v>2017</v>
      </c>
      <c r="AU196" s="121">
        <f>baseline-2</f>
        <v>2015</v>
      </c>
      <c r="AV196" s="122">
        <f>baseline-1</f>
        <v>2016</v>
      </c>
      <c r="AW196" s="123">
        <f>baseline</f>
        <v>2017</v>
      </c>
      <c r="AX196" s="121"/>
      <c r="AY196" s="122"/>
      <c r="AZ196" s="123"/>
      <c r="BA196" s="121"/>
      <c r="BB196" s="122"/>
      <c r="BC196" s="123"/>
      <c r="BD196" s="121">
        <f>baseline-2</f>
        <v>2015</v>
      </c>
      <c r="BE196" s="122">
        <f>baseline-1</f>
        <v>2016</v>
      </c>
      <c r="BF196" s="123">
        <f>baseline</f>
        <v>2017</v>
      </c>
      <c r="BG196" s="121">
        <f>baseline-2</f>
        <v>2015</v>
      </c>
      <c r="BH196" s="122">
        <f>baseline-1</f>
        <v>2016</v>
      </c>
      <c r="BI196" s="123">
        <f>baseline</f>
        <v>2017</v>
      </c>
    </row>
    <row r="197" spans="1:61" ht="98" x14ac:dyDescent="0.3">
      <c r="C197" s="116" t="s">
        <v>388</v>
      </c>
      <c r="D197" s="117" t="s">
        <v>389</v>
      </c>
      <c r="E197" s="116" t="s">
        <v>390</v>
      </c>
      <c r="F197" s="117" t="s">
        <v>391</v>
      </c>
      <c r="G197" s="117" t="s">
        <v>392</v>
      </c>
      <c r="H197" s="117"/>
      <c r="I197" s="117"/>
      <c r="M197" s="117" t="s">
        <v>388</v>
      </c>
      <c r="N197" s="117" t="s">
        <v>388</v>
      </c>
      <c r="O197" s="117" t="s">
        <v>388</v>
      </c>
      <c r="P197" s="125" t="s">
        <v>389</v>
      </c>
      <c r="Q197" s="125" t="s">
        <v>389</v>
      </c>
      <c r="R197" s="125" t="s">
        <v>389</v>
      </c>
      <c r="S197" s="126" t="s">
        <v>390</v>
      </c>
      <c r="T197" s="126" t="s">
        <v>390</v>
      </c>
      <c r="U197" s="126" t="s">
        <v>390</v>
      </c>
      <c r="V197" s="116" t="s">
        <v>391</v>
      </c>
      <c r="W197" s="116" t="s">
        <v>391</v>
      </c>
      <c r="X197" s="116" t="s">
        <v>391</v>
      </c>
      <c r="Y197" s="125" t="s">
        <v>392</v>
      </c>
      <c r="Z197" s="125" t="s">
        <v>392</v>
      </c>
      <c r="AA197" s="125" t="s">
        <v>392</v>
      </c>
      <c r="AB197" s="126"/>
      <c r="AC197" s="126"/>
      <c r="AD197" s="126"/>
      <c r="AE197" s="117"/>
      <c r="AF197" s="117"/>
      <c r="AG197" s="117"/>
      <c r="AI197" s="79" t="s">
        <v>393</v>
      </c>
      <c r="AJ197" s="79" t="s">
        <v>393</v>
      </c>
      <c r="AK197" s="79" t="s">
        <v>393</v>
      </c>
      <c r="AL197" s="79" t="s">
        <v>394</v>
      </c>
      <c r="AM197" s="79" t="s">
        <v>394</v>
      </c>
      <c r="AN197" s="79" t="s">
        <v>394</v>
      </c>
      <c r="AO197" s="79" t="s">
        <v>374</v>
      </c>
      <c r="AP197" s="79" t="s">
        <v>374</v>
      </c>
      <c r="AQ197" s="79" t="s">
        <v>374</v>
      </c>
      <c r="AR197" s="79" t="s">
        <v>375</v>
      </c>
      <c r="AS197" s="79" t="s">
        <v>375</v>
      </c>
      <c r="AT197" s="79" t="s">
        <v>375</v>
      </c>
      <c r="AU197" s="79" t="s">
        <v>376</v>
      </c>
      <c r="AV197" s="79" t="s">
        <v>376</v>
      </c>
      <c r="AW197" s="79" t="s">
        <v>376</v>
      </c>
      <c r="AX197" s="79"/>
      <c r="AY197" s="79"/>
      <c r="AZ197" s="79"/>
      <c r="BA197" s="79"/>
      <c r="BB197" s="79"/>
      <c r="BC197" s="79"/>
      <c r="BD197" s="79" t="s">
        <v>395</v>
      </c>
      <c r="BE197" s="79" t="s">
        <v>395</v>
      </c>
      <c r="BF197" s="79" t="s">
        <v>395</v>
      </c>
      <c r="BG197" s="79" t="s">
        <v>219</v>
      </c>
      <c r="BH197" s="79" t="s">
        <v>219</v>
      </c>
      <c r="BI197" s="79" t="s">
        <v>219</v>
      </c>
    </row>
    <row r="198" spans="1:61" x14ac:dyDescent="0.3">
      <c r="A198">
        <v>0</v>
      </c>
      <c r="B198" s="3" t="s">
        <v>211</v>
      </c>
      <c r="C198" s="118">
        <f t="shared" ref="C198:C203" ca="1" si="97">AVERAGE(M198:O198)</f>
        <v>1.2103827692284566</v>
      </c>
      <c r="D198" s="119">
        <f t="shared" ref="D198:D203" ca="1" si="98">AVERAGE(P198:R198)</f>
        <v>1.0671883972120583E-3</v>
      </c>
      <c r="E198" s="119">
        <f t="shared" ref="E198:E203" ca="1" si="99">AVERAGE(S198:U198)</f>
        <v>5.0564814941952518E-4</v>
      </c>
      <c r="F198" s="118">
        <f t="shared" ref="F198:F203" ca="1" si="100">AVERAGE(V198:X198)</f>
        <v>1.9770268706345318</v>
      </c>
      <c r="G198" s="120">
        <f t="shared" ref="G198:G203" ca="1" si="101">AVERAGE(Y198:AA198)</f>
        <v>0</v>
      </c>
      <c r="H198" s="120"/>
      <c r="I198" s="120"/>
      <c r="M198" s="127">
        <f t="shared" ref="M198:O203" ca="1" si="102">IFERROR(AI198/AL198,0)</f>
        <v>1.1620294599018002</v>
      </c>
      <c r="N198" s="127">
        <f t="shared" ca="1" si="102"/>
        <v>1.2275544601109136</v>
      </c>
      <c r="O198" s="127">
        <f t="shared" ca="1" si="102"/>
        <v>1.2415643876726556</v>
      </c>
      <c r="P198" s="127">
        <f t="shared" ref="P198:R203" ca="1" si="103">IFERROR(AO198/SUM(AI$198:AI$203),0)</f>
        <v>9.9009900990099011E-4</v>
      </c>
      <c r="Q198" s="127">
        <f t="shared" ca="1" si="103"/>
        <v>9.2735703245749607E-4</v>
      </c>
      <c r="R198" s="127">
        <f t="shared" ca="1" si="103"/>
        <v>1.2841091492776886E-3</v>
      </c>
      <c r="S198" s="127">
        <f t="shared" ref="S198:U203" ca="1" si="104">IFERROR(AR198/SUM(AI$198:AI$203),0)</f>
        <v>5.6577086280056586E-4</v>
      </c>
      <c r="T198" s="127">
        <f t="shared" ca="1" si="104"/>
        <v>3.0911901081916539E-4</v>
      </c>
      <c r="U198" s="127">
        <f t="shared" ca="1" si="104"/>
        <v>6.420545746388443E-4</v>
      </c>
      <c r="V198" s="127">
        <f t="shared" ref="V198:X203" ca="1" si="105">IFERROR(BG198/AL$198,0)</f>
        <v>2.1148936170212762</v>
      </c>
      <c r="W198" s="127">
        <f t="shared" ca="1" si="105"/>
        <v>1.9108159048896296</v>
      </c>
      <c r="X198" s="127">
        <f t="shared" ca="1" si="105"/>
        <v>1.9053710899926894</v>
      </c>
      <c r="Y198" s="128">
        <f t="shared" ref="Y198:AA203" ca="1" si="106">IFERROR(AU198/BG198,0)</f>
        <v>0</v>
      </c>
      <c r="Z198" s="128">
        <f t="shared" ca="1" si="106"/>
        <v>0</v>
      </c>
      <c r="AA198" s="128">
        <f t="shared" ca="1" si="106"/>
        <v>0</v>
      </c>
      <c r="AB198" s="127"/>
      <c r="AC198" s="127"/>
      <c r="AD198" s="127"/>
      <c r="AE198" s="127"/>
      <c r="AF198" s="127"/>
      <c r="AG198" s="127"/>
      <c r="AI198" s="76">
        <f ca="1">SUMIFS(OFFSET('DHHS data'!$G:$G,0,MATCH(AI$196,'DHHS data'!$G$12:$M$12,0)-1),'DHHS data'!$B:$B,council,'DHHS data'!$D:$D,$B198)</f>
        <v>100</v>
      </c>
      <c r="AJ198" s="76">
        <f ca="1">SUMIFS(OFFSET('DHHS data'!$G:$G,0,MATCH(AJ$196,'DHHS data'!$G$12:$M$12,0)-1),'DHHS data'!$B:$B,council,'DHHS data'!$D:$D,$B198)</f>
        <v>106</v>
      </c>
      <c r="AK198" s="76">
        <f ca="1">SUMIFS(OFFSET('DHHS data'!$G:$G,0,MATCH(AK$196,'DHHS data'!$G$12:$M$12,0)-1),'DHHS data'!$B:$B,council,'DHHS data'!$D:$D,$B198)</f>
        <v>101</v>
      </c>
      <c r="AL198" s="76">
        <f ca="1">SUMIFS(OFFSET('Other data'!$F$8:$F$481,0,MATCH(AL$196,'Other data'!$F$7:$V$7,0)-1),'Other data'!$C$8:$C$481,council,'Other data'!$D$8:$D$481,$A198)</f>
        <v>86.056338028169023</v>
      </c>
      <c r="AM198" s="76">
        <f ca="1">SUMIFS(OFFSET('Other data'!$F$8:$F$481,0,MATCH(AM$196,'Other data'!$F$7:$V$7,0)-1),'Other data'!$C$8:$C$481,council,'Other data'!$D$8:$D$481,$A198)</f>
        <v>86.350547730829433</v>
      </c>
      <c r="AN198" s="76">
        <f ca="1">SUMIFS(OFFSET('Other data'!$F$8:$F$481,0,MATCH(AN$196,'Other data'!$F$7:$V$7,0)-1),'Other data'!$C$8:$C$481,council,'Other data'!$D$8:$D$481,$A198)</f>
        <v>81.348982785602516</v>
      </c>
      <c r="AO198" s="92">
        <f t="array" ref="AO198">INDEX('COUNCIL REPORT'!$C$93:$E$96,MATCH(AO$197,'COUNCIL REPORT'!$A$93:$A$96&amp;'COUNCIL REPORT'!$B$93:$B$96,0),MATCH(AO$196,'COUNCIL REPORT'!$C$72:$E$72,0))</f>
        <v>0.7</v>
      </c>
      <c r="AP198" s="92">
        <f t="array" ref="AP198">INDEX('COUNCIL REPORT'!$C$93:$E$96,MATCH(AP$197,'COUNCIL REPORT'!$A$93:$A$96&amp;'COUNCIL REPORT'!$B$93:$B$96,0),MATCH(AP$196,'COUNCIL REPORT'!$C$72:$E$72,0))</f>
        <v>0.6</v>
      </c>
      <c r="AQ198" s="92">
        <f t="array" ref="AQ198">INDEX('COUNCIL REPORT'!$C$93:$E$96,MATCH(AQ$197,'COUNCIL REPORT'!$A$93:$A$96&amp;'COUNCIL REPORT'!$B$93:$B$96,0),MATCH(AQ$196,'COUNCIL REPORT'!$C$72:$E$72,0))</f>
        <v>0.8</v>
      </c>
      <c r="AR198" s="92">
        <f t="array" ref="AR198">INDEX('COUNCIL REPORT'!$C$93:$E$96,MATCH(AR$197,'COUNCIL REPORT'!$A$93:$A$96&amp;'COUNCIL REPORT'!$B$93:$B$96,0),MATCH(AR$196,'COUNCIL REPORT'!$C$72:$E$72,0))</f>
        <v>0.4</v>
      </c>
      <c r="AS198" s="92">
        <f t="array" ref="AS198">INDEX('COUNCIL REPORT'!$C$93:$E$96,MATCH(AS$197,'COUNCIL REPORT'!$A$93:$A$96&amp;'COUNCIL REPORT'!$B$93:$B$96,0),MATCH(AS$196,'COUNCIL REPORT'!$C$72:$E$72,0))</f>
        <v>0.2</v>
      </c>
      <c r="AT198" s="92">
        <f t="array" ref="AT198">INDEX('COUNCIL REPORT'!$C$93:$E$96,MATCH(AT$197,'COUNCIL REPORT'!$A$93:$A$96&amp;'COUNCIL REPORT'!$B$93:$B$96,0),MATCH(AT$196,'COUNCIL REPORT'!$C$72:$E$72,0))</f>
        <v>0.4</v>
      </c>
      <c r="AU198" s="92">
        <f t="array" ref="AU198">INDEX('COUNCIL REPORT'!$C$93:$E$96,MATCH(AU$197,'COUNCIL REPORT'!$A$93:$A$96&amp;'COUNCIL REPORT'!$B$93:$B$96,0),MATCH(AU$196,'COUNCIL REPORT'!$C$72:$E$72,0))</f>
        <v>0</v>
      </c>
      <c r="AV198" s="92">
        <f t="array" ref="AV198">INDEX('COUNCIL REPORT'!$C$93:$E$96,MATCH(AV$197,'COUNCIL REPORT'!$A$93:$A$96&amp;'COUNCIL REPORT'!$B$93:$B$96,0),MATCH(AV$196,'COUNCIL REPORT'!$C$72:$E$72,0))</f>
        <v>0</v>
      </c>
      <c r="AW198" s="92">
        <f t="array" ref="AW198">INDEX('COUNCIL REPORT'!$C$93:$E$96,MATCH(AW$197,'COUNCIL REPORT'!$A$93:$A$96&amp;'COUNCIL REPORT'!$B$93:$B$96,0),MATCH(AW$196,'COUNCIL REPORT'!$C$72:$E$72,0))</f>
        <v>0</v>
      </c>
      <c r="AX198" s="92"/>
      <c r="AY198" s="92"/>
      <c r="AZ198" s="92"/>
      <c r="BA198" s="92"/>
      <c r="BB198" s="92"/>
      <c r="BC198" s="92"/>
      <c r="BD198" s="124">
        <f t="shared" ref="BD198:BF203" si="107">AO198+AR198+AU198</f>
        <v>1.1000000000000001</v>
      </c>
      <c r="BE198" s="124">
        <f t="shared" si="107"/>
        <v>0.8</v>
      </c>
      <c r="BF198" s="124">
        <f t="shared" si="107"/>
        <v>1.2000000000000002</v>
      </c>
      <c r="BG198" s="112">
        <f ca="1">SUMIFS(OFFSET('DHHS data'!$R:$R,0,MATCH(BG$196,'DHHS data'!$R$12:$X$12,0)-1),'DHHS data'!$Q:$Q,council)</f>
        <v>182</v>
      </c>
      <c r="BH198" s="112">
        <f ca="1">SUMIFS(OFFSET('DHHS data'!$R:$R,0,MATCH(BH$196,'DHHS data'!$R$12:$X$12,0)-1),'DHHS data'!$Q:$Q,council)</f>
        <v>165</v>
      </c>
      <c r="BI198" s="112">
        <f ca="1">SUMIFS(OFFSET('DHHS data'!$R:$R,0,MATCH(BI$196,'DHHS data'!$R$12:$X$12,0)-1),'DHHS data'!$Q:$Q,council)</f>
        <v>155</v>
      </c>
    </row>
    <row r="199" spans="1:61" x14ac:dyDescent="0.3">
      <c r="A199">
        <v>1</v>
      </c>
      <c r="B199" s="3" t="s">
        <v>212</v>
      </c>
      <c r="C199" s="118">
        <f t="shared" ca="1" si="97"/>
        <v>1.1852543477764537</v>
      </c>
      <c r="D199" s="119">
        <f t="shared" ca="1" si="98"/>
        <v>1.0671883972120583E-3</v>
      </c>
      <c r="E199" s="119">
        <f t="shared" ca="1" si="99"/>
        <v>5.0564814941952518E-4</v>
      </c>
      <c r="F199" s="118">
        <f t="shared" ca="1" si="100"/>
        <v>1.9770268706345318</v>
      </c>
      <c r="G199" s="120">
        <f t="shared" ca="1" si="101"/>
        <v>0</v>
      </c>
      <c r="H199" s="120"/>
      <c r="I199" s="120"/>
      <c r="M199" s="127">
        <f t="shared" ca="1" si="102"/>
        <v>1.2329017517136329</v>
      </c>
      <c r="N199" s="127">
        <f t="shared" ca="1" si="102"/>
        <v>1.1101421896874524</v>
      </c>
      <c r="O199" s="127">
        <f t="shared" ca="1" si="102"/>
        <v>1.2127191019282759</v>
      </c>
      <c r="P199" s="127">
        <f t="shared" ca="1" si="103"/>
        <v>9.9009900990099011E-4</v>
      </c>
      <c r="Q199" s="127">
        <f t="shared" ca="1" si="103"/>
        <v>9.2735703245749607E-4</v>
      </c>
      <c r="R199" s="127">
        <f t="shared" ca="1" si="103"/>
        <v>1.2841091492776886E-3</v>
      </c>
      <c r="S199" s="127">
        <f t="shared" ca="1" si="104"/>
        <v>5.6577086280056586E-4</v>
      </c>
      <c r="T199" s="127">
        <f t="shared" ca="1" si="104"/>
        <v>3.0911901081916539E-4</v>
      </c>
      <c r="U199" s="127">
        <f t="shared" ca="1" si="104"/>
        <v>6.420545746388443E-4</v>
      </c>
      <c r="V199" s="127">
        <f t="shared" ca="1" si="105"/>
        <v>2.1148936170212762</v>
      </c>
      <c r="W199" s="127">
        <f t="shared" ca="1" si="105"/>
        <v>1.9108159048896296</v>
      </c>
      <c r="X199" s="127">
        <f t="shared" ca="1" si="105"/>
        <v>1.9053710899926894</v>
      </c>
      <c r="Y199" s="128">
        <f t="shared" ca="1" si="106"/>
        <v>0</v>
      </c>
      <c r="Z199" s="128">
        <f t="shared" ca="1" si="106"/>
        <v>0</v>
      </c>
      <c r="AA199" s="128">
        <f t="shared" ca="1" si="106"/>
        <v>0</v>
      </c>
      <c r="AB199" s="127"/>
      <c r="AC199" s="127"/>
      <c r="AD199" s="127"/>
      <c r="AE199" s="127"/>
      <c r="AF199" s="127"/>
      <c r="AG199" s="127"/>
      <c r="AI199" s="76">
        <f ca="1">SUMIFS(OFFSET('DHHS data'!$G:$G,0,MATCH(AI$196,'DHHS data'!$G$12:$M$12,0)-1),'DHHS data'!$B:$B,council,'DHHS data'!$D:$D,$B199)</f>
        <v>114</v>
      </c>
      <c r="AJ199" s="76">
        <f ca="1">SUMIFS(OFFSET('DHHS data'!$G:$G,0,MATCH(AJ$196,'DHHS data'!$G$12:$M$12,0)-1),'DHHS data'!$B:$B,council,'DHHS data'!$D:$D,$B199)</f>
        <v>103</v>
      </c>
      <c r="AK199" s="76">
        <f ca="1">SUMIFS(OFFSET('DHHS data'!$G:$G,0,MATCH(AK$196,'DHHS data'!$G$12:$M$12,0)-1),'DHHS data'!$B:$B,council,'DHHS data'!$D:$D,$B199)</f>
        <v>106</v>
      </c>
      <c r="AL199" s="76">
        <f ca="1">SUMIFS(OFFSET('Other data'!$F$8:$F$481,0,MATCH(AL$196,'Other data'!$F$7:$V$7,0)-1),'Other data'!$C$8:$C$481,council,'Other data'!$D$8:$D$481,$A199)</f>
        <v>92.464788732394368</v>
      </c>
      <c r="AM199" s="76">
        <f ca="1">SUMIFS(OFFSET('Other data'!$F$8:$F$481,0,MATCH(AM$196,'Other data'!$F$7:$V$7,0)-1),'Other data'!$C$8:$C$481,council,'Other data'!$D$8:$D$481,$A199)</f>
        <v>92.78090766823162</v>
      </c>
      <c r="AN199" s="76">
        <f ca="1">SUMIFS(OFFSET('Other data'!$F$8:$F$481,0,MATCH(AN$196,'Other data'!$F$7:$V$7,0)-1),'Other data'!$C$8:$C$481,council,'Other data'!$D$8:$D$481,$A199)</f>
        <v>87.406885758998442</v>
      </c>
      <c r="AO199" s="92">
        <f t="array" ref="AO199">INDEX('COUNCIL REPORT'!$C$93:$E$96,MATCH(AO$197,'COUNCIL REPORT'!$A$93:$A$96&amp;'COUNCIL REPORT'!$B$93:$B$96,0),MATCH(AO$196,'COUNCIL REPORT'!$C$72:$E$72,0))</f>
        <v>0.7</v>
      </c>
      <c r="AP199" s="92">
        <f t="array" ref="AP199">INDEX('COUNCIL REPORT'!$C$93:$E$96,MATCH(AP$197,'COUNCIL REPORT'!$A$93:$A$96&amp;'COUNCIL REPORT'!$B$93:$B$96,0),MATCH(AP$196,'COUNCIL REPORT'!$C$72:$E$72,0))</f>
        <v>0.6</v>
      </c>
      <c r="AQ199" s="92">
        <f t="array" ref="AQ199">INDEX('COUNCIL REPORT'!$C$93:$E$96,MATCH(AQ$197,'COUNCIL REPORT'!$A$93:$A$96&amp;'COUNCIL REPORT'!$B$93:$B$96,0),MATCH(AQ$196,'COUNCIL REPORT'!$C$72:$E$72,0))</f>
        <v>0.8</v>
      </c>
      <c r="AR199" s="92">
        <f t="array" ref="AR199">INDEX('COUNCIL REPORT'!$C$93:$E$96,MATCH(AR$197,'COUNCIL REPORT'!$A$93:$A$96&amp;'COUNCIL REPORT'!$B$93:$B$96,0),MATCH(AR$196,'COUNCIL REPORT'!$C$72:$E$72,0))</f>
        <v>0.4</v>
      </c>
      <c r="AS199" s="92">
        <f t="array" ref="AS199">INDEX('COUNCIL REPORT'!$C$93:$E$96,MATCH(AS$197,'COUNCIL REPORT'!$A$93:$A$96&amp;'COUNCIL REPORT'!$B$93:$B$96,0),MATCH(AS$196,'COUNCIL REPORT'!$C$72:$E$72,0))</f>
        <v>0.2</v>
      </c>
      <c r="AT199" s="92">
        <f t="array" ref="AT199">INDEX('COUNCIL REPORT'!$C$93:$E$96,MATCH(AT$197,'COUNCIL REPORT'!$A$93:$A$96&amp;'COUNCIL REPORT'!$B$93:$B$96,0),MATCH(AT$196,'COUNCIL REPORT'!$C$72:$E$72,0))</f>
        <v>0.4</v>
      </c>
      <c r="AU199" s="92">
        <f t="array" ref="AU199">INDEX('COUNCIL REPORT'!$C$93:$E$96,MATCH(AU$197,'COUNCIL REPORT'!$A$93:$A$96&amp;'COUNCIL REPORT'!$B$93:$B$96,0),MATCH(AU$196,'COUNCIL REPORT'!$C$72:$E$72,0))</f>
        <v>0</v>
      </c>
      <c r="AV199" s="92">
        <f t="array" ref="AV199">INDEX('COUNCIL REPORT'!$C$93:$E$96,MATCH(AV$197,'COUNCIL REPORT'!$A$93:$A$96&amp;'COUNCIL REPORT'!$B$93:$B$96,0),MATCH(AV$196,'COUNCIL REPORT'!$C$72:$E$72,0))</f>
        <v>0</v>
      </c>
      <c r="AW199" s="92">
        <f t="array" ref="AW199">INDEX('COUNCIL REPORT'!$C$93:$E$96,MATCH(AW$197,'COUNCIL REPORT'!$A$93:$A$96&amp;'COUNCIL REPORT'!$B$93:$B$96,0),MATCH(AW$196,'COUNCIL REPORT'!$C$72:$E$72,0))</f>
        <v>0</v>
      </c>
      <c r="AX199" s="92"/>
      <c r="AY199" s="92"/>
      <c r="AZ199" s="92"/>
      <c r="BA199" s="92"/>
      <c r="BB199" s="92"/>
      <c r="BC199" s="92"/>
      <c r="BD199" s="124">
        <f t="shared" si="107"/>
        <v>1.1000000000000001</v>
      </c>
      <c r="BE199" s="124">
        <f t="shared" si="107"/>
        <v>0.8</v>
      </c>
      <c r="BF199" s="124">
        <f t="shared" si="107"/>
        <v>1.2000000000000002</v>
      </c>
      <c r="BG199" s="112">
        <f ca="1">SUMIFS(OFFSET('DHHS data'!$R:$R,0,MATCH(BG$196,'DHHS data'!$R$12:$X$12,0)-1),'DHHS data'!$Q:$Q,council)</f>
        <v>182</v>
      </c>
      <c r="BH199" s="112">
        <f ca="1">SUMIFS(OFFSET('DHHS data'!$R:$R,0,MATCH(BH$196,'DHHS data'!$R$12:$X$12,0)-1),'DHHS data'!$Q:$Q,council)</f>
        <v>165</v>
      </c>
      <c r="BI199" s="112">
        <f ca="1">SUMIFS(OFFSET('DHHS data'!$R:$R,0,MATCH(BI$196,'DHHS data'!$R$12:$X$12,0)-1),'DHHS data'!$Q:$Q,council)</f>
        <v>155</v>
      </c>
    </row>
    <row r="200" spans="1:61" x14ac:dyDescent="0.3">
      <c r="A200">
        <v>2</v>
      </c>
      <c r="B200" s="3" t="s">
        <v>213</v>
      </c>
      <c r="C200" s="118">
        <f t="shared" ca="1" si="97"/>
        <v>1.1501787932857737</v>
      </c>
      <c r="D200" s="119">
        <f t="shared" ca="1" si="98"/>
        <v>1.0671883972120583E-3</v>
      </c>
      <c r="E200" s="119">
        <f t="shared" ca="1" si="99"/>
        <v>5.0564814941952518E-4</v>
      </c>
      <c r="F200" s="118">
        <f t="shared" ca="1" si="100"/>
        <v>1.9770268706345318</v>
      </c>
      <c r="G200" s="120">
        <f t="shared" ca="1" si="101"/>
        <v>0</v>
      </c>
      <c r="H200" s="120"/>
      <c r="I200" s="120"/>
      <c r="M200" s="127">
        <f t="shared" ca="1" si="102"/>
        <v>1.1254079254079254</v>
      </c>
      <c r="N200" s="127">
        <f t="shared" ca="1" si="102"/>
        <v>1.0995818491559548</v>
      </c>
      <c r="O200" s="127">
        <f t="shared" ca="1" si="102"/>
        <v>1.2255466052934409</v>
      </c>
      <c r="P200" s="127">
        <f t="shared" ca="1" si="103"/>
        <v>9.9009900990099011E-4</v>
      </c>
      <c r="Q200" s="127">
        <f t="shared" ca="1" si="103"/>
        <v>9.2735703245749607E-4</v>
      </c>
      <c r="R200" s="127">
        <f t="shared" ca="1" si="103"/>
        <v>1.2841091492776886E-3</v>
      </c>
      <c r="S200" s="127">
        <f t="shared" ca="1" si="104"/>
        <v>5.6577086280056586E-4</v>
      </c>
      <c r="T200" s="127">
        <f t="shared" ca="1" si="104"/>
        <v>3.0911901081916539E-4</v>
      </c>
      <c r="U200" s="127">
        <f t="shared" ca="1" si="104"/>
        <v>6.420545746388443E-4</v>
      </c>
      <c r="V200" s="127">
        <f t="shared" ca="1" si="105"/>
        <v>2.1148936170212762</v>
      </c>
      <c r="W200" s="127">
        <f t="shared" ca="1" si="105"/>
        <v>1.9108159048896296</v>
      </c>
      <c r="X200" s="127">
        <f t="shared" ca="1" si="105"/>
        <v>1.9053710899926894</v>
      </c>
      <c r="Y200" s="128">
        <f t="shared" ca="1" si="106"/>
        <v>0</v>
      </c>
      <c r="Z200" s="128">
        <f t="shared" ca="1" si="106"/>
        <v>0</v>
      </c>
      <c r="AA200" s="128">
        <f t="shared" ca="1" si="106"/>
        <v>0</v>
      </c>
      <c r="AB200" s="127"/>
      <c r="AC200" s="127"/>
      <c r="AD200" s="127"/>
      <c r="AE200" s="127"/>
      <c r="AF200" s="127"/>
      <c r="AG200" s="127"/>
      <c r="AI200" s="76">
        <f ca="1">SUMIFS(OFFSET('DHHS data'!$G:$G,0,MATCH(AI$196,'DHHS data'!$G$12:$M$12,0)-1),'DHHS data'!$B:$B,council,'DHHS data'!$D:$D,$B200)</f>
        <v>102</v>
      </c>
      <c r="AJ200" s="76">
        <f ca="1">SUMIFS(OFFSET('DHHS data'!$G:$G,0,MATCH(AJ$196,'DHHS data'!$G$12:$M$12,0)-1),'DHHS data'!$B:$B,council,'DHHS data'!$D:$D,$B200)</f>
        <v>100</v>
      </c>
      <c r="AK200" s="76">
        <f ca="1">SUMIFS(OFFSET('DHHS data'!$G:$G,0,MATCH(AK$196,'DHHS data'!$G$12:$M$12,0)-1),'DHHS data'!$B:$B,council,'DHHS data'!$D:$D,$B200)</f>
        <v>105</v>
      </c>
      <c r="AL200" s="76">
        <f ca="1">SUMIFS(OFFSET('Other data'!$F$8:$F$481,0,MATCH(AL$196,'Other data'!$F$7:$V$7,0)-1),'Other data'!$C$8:$C$481,council,'Other data'!$D$8:$D$481,$A200)</f>
        <v>90.633802816901408</v>
      </c>
      <c r="AM200" s="76">
        <f ca="1">SUMIFS(OFFSET('Other data'!$F$8:$F$481,0,MATCH(AM$196,'Other data'!$F$7:$V$7,0)-1),'Other data'!$C$8:$C$481,council,'Other data'!$D$8:$D$481,$A200)</f>
        <v>90.943661971830977</v>
      </c>
      <c r="AN200" s="76">
        <f ca="1">SUMIFS(OFFSET('Other data'!$F$8:$F$481,0,MATCH(AN$196,'Other data'!$F$7:$V$7,0)-1),'Other data'!$C$8:$C$481,council,'Other data'!$D$8:$D$481,$A200)</f>
        <v>85.676056338028161</v>
      </c>
      <c r="AO200" s="92">
        <f t="array" ref="AO200">INDEX('COUNCIL REPORT'!$C$93:$E$96,MATCH(AO$197,'COUNCIL REPORT'!$A$93:$A$96&amp;'COUNCIL REPORT'!$B$93:$B$96,0),MATCH(AO$196,'COUNCIL REPORT'!$C$72:$E$72,0))</f>
        <v>0.7</v>
      </c>
      <c r="AP200" s="92">
        <f t="array" ref="AP200">INDEX('COUNCIL REPORT'!$C$93:$E$96,MATCH(AP$197,'COUNCIL REPORT'!$A$93:$A$96&amp;'COUNCIL REPORT'!$B$93:$B$96,0),MATCH(AP$196,'COUNCIL REPORT'!$C$72:$E$72,0))</f>
        <v>0.6</v>
      </c>
      <c r="AQ200" s="92">
        <f t="array" ref="AQ200">INDEX('COUNCIL REPORT'!$C$93:$E$96,MATCH(AQ$197,'COUNCIL REPORT'!$A$93:$A$96&amp;'COUNCIL REPORT'!$B$93:$B$96,0),MATCH(AQ$196,'COUNCIL REPORT'!$C$72:$E$72,0))</f>
        <v>0.8</v>
      </c>
      <c r="AR200" s="92">
        <f t="array" ref="AR200">INDEX('COUNCIL REPORT'!$C$93:$E$96,MATCH(AR$197,'COUNCIL REPORT'!$A$93:$A$96&amp;'COUNCIL REPORT'!$B$93:$B$96,0),MATCH(AR$196,'COUNCIL REPORT'!$C$72:$E$72,0))</f>
        <v>0.4</v>
      </c>
      <c r="AS200" s="92">
        <f t="array" ref="AS200">INDEX('COUNCIL REPORT'!$C$93:$E$96,MATCH(AS$197,'COUNCIL REPORT'!$A$93:$A$96&amp;'COUNCIL REPORT'!$B$93:$B$96,0),MATCH(AS$196,'COUNCIL REPORT'!$C$72:$E$72,0))</f>
        <v>0.2</v>
      </c>
      <c r="AT200" s="92">
        <f t="array" ref="AT200">INDEX('COUNCIL REPORT'!$C$93:$E$96,MATCH(AT$197,'COUNCIL REPORT'!$A$93:$A$96&amp;'COUNCIL REPORT'!$B$93:$B$96,0),MATCH(AT$196,'COUNCIL REPORT'!$C$72:$E$72,0))</f>
        <v>0.4</v>
      </c>
      <c r="AU200" s="92">
        <f t="array" ref="AU200">INDEX('COUNCIL REPORT'!$C$93:$E$96,MATCH(AU$197,'COUNCIL REPORT'!$A$93:$A$96&amp;'COUNCIL REPORT'!$B$93:$B$96,0),MATCH(AU$196,'COUNCIL REPORT'!$C$72:$E$72,0))</f>
        <v>0</v>
      </c>
      <c r="AV200" s="92">
        <f t="array" ref="AV200">INDEX('COUNCIL REPORT'!$C$93:$E$96,MATCH(AV$197,'COUNCIL REPORT'!$A$93:$A$96&amp;'COUNCIL REPORT'!$B$93:$B$96,0),MATCH(AV$196,'COUNCIL REPORT'!$C$72:$E$72,0))</f>
        <v>0</v>
      </c>
      <c r="AW200" s="92">
        <f t="array" ref="AW200">INDEX('COUNCIL REPORT'!$C$93:$E$96,MATCH(AW$197,'COUNCIL REPORT'!$A$93:$A$96&amp;'COUNCIL REPORT'!$B$93:$B$96,0),MATCH(AW$196,'COUNCIL REPORT'!$C$72:$E$72,0))</f>
        <v>0</v>
      </c>
      <c r="AX200" s="92"/>
      <c r="AY200" s="92"/>
      <c r="AZ200" s="92"/>
      <c r="BA200" s="92"/>
      <c r="BB200" s="92"/>
      <c r="BC200" s="92"/>
      <c r="BD200" s="124">
        <f t="shared" si="107"/>
        <v>1.1000000000000001</v>
      </c>
      <c r="BE200" s="124">
        <f t="shared" si="107"/>
        <v>0.8</v>
      </c>
      <c r="BF200" s="124">
        <f t="shared" si="107"/>
        <v>1.2000000000000002</v>
      </c>
      <c r="BG200" s="112">
        <f ca="1">SUMIFS(OFFSET('DHHS data'!$R:$R,0,MATCH(BG$196,'DHHS data'!$R$12:$X$12,0)-1),'DHHS data'!$Q:$Q,council)</f>
        <v>182</v>
      </c>
      <c r="BH200" s="112">
        <f ca="1">SUMIFS(OFFSET('DHHS data'!$R:$R,0,MATCH(BH$196,'DHHS data'!$R$12:$X$12,0)-1),'DHHS data'!$Q:$Q,council)</f>
        <v>165</v>
      </c>
      <c r="BI200" s="112">
        <f ca="1">SUMIFS(OFFSET('DHHS data'!$R:$R,0,MATCH(BI$196,'DHHS data'!$R$12:$X$12,0)-1),'DHHS data'!$Q:$Q,council)</f>
        <v>155</v>
      </c>
    </row>
    <row r="201" spans="1:61" x14ac:dyDescent="0.3">
      <c r="A201">
        <v>3</v>
      </c>
      <c r="B201" s="3" t="s">
        <v>214</v>
      </c>
      <c r="C201" s="118">
        <f t="shared" ca="1" si="97"/>
        <v>1.0749714157779195</v>
      </c>
      <c r="D201" s="119">
        <f t="shared" ca="1" si="98"/>
        <v>1.0671883972120583E-3</v>
      </c>
      <c r="E201" s="119">
        <f t="shared" ca="1" si="99"/>
        <v>5.0564814941952518E-4</v>
      </c>
      <c r="F201" s="118">
        <f t="shared" ca="1" si="100"/>
        <v>1.9770268706345318</v>
      </c>
      <c r="G201" s="120">
        <f t="shared" ca="1" si="101"/>
        <v>0</v>
      </c>
      <c r="H201" s="120"/>
      <c r="I201" s="120"/>
      <c r="M201" s="127">
        <f t="shared" ca="1" si="102"/>
        <v>1.2114685314685316</v>
      </c>
      <c r="N201" s="127">
        <f t="shared" ca="1" si="102"/>
        <v>0.91045377110113057</v>
      </c>
      <c r="O201" s="127">
        <f t="shared" ca="1" si="102"/>
        <v>1.1029919447640968</v>
      </c>
      <c r="P201" s="127">
        <f t="shared" ca="1" si="103"/>
        <v>9.9009900990099011E-4</v>
      </c>
      <c r="Q201" s="127">
        <f t="shared" ca="1" si="103"/>
        <v>9.2735703245749607E-4</v>
      </c>
      <c r="R201" s="127">
        <f t="shared" ca="1" si="103"/>
        <v>1.2841091492776886E-3</v>
      </c>
      <c r="S201" s="127">
        <f t="shared" ca="1" si="104"/>
        <v>5.6577086280056586E-4</v>
      </c>
      <c r="T201" s="127">
        <f t="shared" ca="1" si="104"/>
        <v>3.0911901081916539E-4</v>
      </c>
      <c r="U201" s="127">
        <f t="shared" ca="1" si="104"/>
        <v>6.420545746388443E-4</v>
      </c>
      <c r="V201" s="127">
        <f t="shared" ca="1" si="105"/>
        <v>2.1148936170212762</v>
      </c>
      <c r="W201" s="127">
        <f t="shared" ca="1" si="105"/>
        <v>1.9108159048896296</v>
      </c>
      <c r="X201" s="127">
        <f t="shared" ca="1" si="105"/>
        <v>1.9053710899926894</v>
      </c>
      <c r="Y201" s="128">
        <f t="shared" ca="1" si="106"/>
        <v>0</v>
      </c>
      <c r="Z201" s="128">
        <f t="shared" ca="1" si="106"/>
        <v>0</v>
      </c>
      <c r="AA201" s="128">
        <f t="shared" ca="1" si="106"/>
        <v>0</v>
      </c>
      <c r="AB201" s="127"/>
      <c r="AC201" s="127"/>
      <c r="AD201" s="127"/>
      <c r="AE201" s="127"/>
      <c r="AF201" s="127"/>
      <c r="AG201" s="127"/>
      <c r="AI201" s="76">
        <f ca="1">SUMIFS(OFFSET('DHHS data'!$G:$G,0,MATCH(AI$196,'DHHS data'!$G$12:$M$12,0)-1),'DHHS data'!$B:$B,council,'DHHS data'!$D:$D,$B201)</f>
        <v>122</v>
      </c>
      <c r="AJ201" s="76">
        <f ca="1">SUMIFS(OFFSET('DHHS data'!$G:$G,0,MATCH(AJ$196,'DHHS data'!$G$12:$M$12,0)-1),'DHHS data'!$B:$B,council,'DHHS data'!$D:$D,$B201)</f>
        <v>92</v>
      </c>
      <c r="AK201" s="76">
        <f ca="1">SUMIFS(OFFSET('DHHS data'!$G:$G,0,MATCH(AK$196,'DHHS data'!$G$12:$M$12,0)-1),'DHHS data'!$B:$B,council,'DHHS data'!$D:$D,$B201)</f>
        <v>105</v>
      </c>
      <c r="AL201" s="76">
        <f ca="1">SUMIFS(OFFSET('Other data'!$F$8:$F$481,0,MATCH(AL$196,'Other data'!$F$7:$V$7,0)-1),'Other data'!$C$8:$C$481,council,'Other data'!$D$8:$D$481,$A201)</f>
        <v>100.70422535211267</v>
      </c>
      <c r="AM201" s="76">
        <f ca="1">SUMIFS(OFFSET('Other data'!$F$8:$F$481,0,MATCH(AM$196,'Other data'!$F$7:$V$7,0)-1),'Other data'!$C$8:$C$481,council,'Other data'!$D$8:$D$481,$A201)</f>
        <v>101.04851330203442</v>
      </c>
      <c r="AN201" s="76">
        <f ca="1">SUMIFS(OFFSET('Other data'!$F$8:$F$481,0,MATCH(AN$196,'Other data'!$F$7:$V$7,0)-1),'Other data'!$C$8:$C$481,council,'Other data'!$D$8:$D$481,$A201)</f>
        <v>95.19561815336462</v>
      </c>
      <c r="AO201" s="92">
        <f t="array" ref="AO201">INDEX('COUNCIL REPORT'!$C$93:$E$96,MATCH(AO$197,'COUNCIL REPORT'!$A$93:$A$96&amp;'COUNCIL REPORT'!$B$93:$B$96,0),MATCH(AO$196,'COUNCIL REPORT'!$C$72:$E$72,0))</f>
        <v>0.7</v>
      </c>
      <c r="AP201" s="92">
        <f t="array" ref="AP201">INDEX('COUNCIL REPORT'!$C$93:$E$96,MATCH(AP$197,'COUNCIL REPORT'!$A$93:$A$96&amp;'COUNCIL REPORT'!$B$93:$B$96,0),MATCH(AP$196,'COUNCIL REPORT'!$C$72:$E$72,0))</f>
        <v>0.6</v>
      </c>
      <c r="AQ201" s="92">
        <f t="array" ref="AQ201">INDEX('COUNCIL REPORT'!$C$93:$E$96,MATCH(AQ$197,'COUNCIL REPORT'!$A$93:$A$96&amp;'COUNCIL REPORT'!$B$93:$B$96,0),MATCH(AQ$196,'COUNCIL REPORT'!$C$72:$E$72,0))</f>
        <v>0.8</v>
      </c>
      <c r="AR201" s="92">
        <f t="array" ref="AR201">INDEX('COUNCIL REPORT'!$C$93:$E$96,MATCH(AR$197,'COUNCIL REPORT'!$A$93:$A$96&amp;'COUNCIL REPORT'!$B$93:$B$96,0),MATCH(AR$196,'COUNCIL REPORT'!$C$72:$E$72,0))</f>
        <v>0.4</v>
      </c>
      <c r="AS201" s="92">
        <f t="array" ref="AS201">INDEX('COUNCIL REPORT'!$C$93:$E$96,MATCH(AS$197,'COUNCIL REPORT'!$A$93:$A$96&amp;'COUNCIL REPORT'!$B$93:$B$96,0),MATCH(AS$196,'COUNCIL REPORT'!$C$72:$E$72,0))</f>
        <v>0.2</v>
      </c>
      <c r="AT201" s="92">
        <f t="array" ref="AT201">INDEX('COUNCIL REPORT'!$C$93:$E$96,MATCH(AT$197,'COUNCIL REPORT'!$A$93:$A$96&amp;'COUNCIL REPORT'!$B$93:$B$96,0),MATCH(AT$196,'COUNCIL REPORT'!$C$72:$E$72,0))</f>
        <v>0.4</v>
      </c>
      <c r="AU201" s="92">
        <f t="array" ref="AU201">INDEX('COUNCIL REPORT'!$C$93:$E$96,MATCH(AU$197,'COUNCIL REPORT'!$A$93:$A$96&amp;'COUNCIL REPORT'!$B$93:$B$96,0),MATCH(AU$196,'COUNCIL REPORT'!$C$72:$E$72,0))</f>
        <v>0</v>
      </c>
      <c r="AV201" s="92">
        <f t="array" ref="AV201">INDEX('COUNCIL REPORT'!$C$93:$E$96,MATCH(AV$197,'COUNCIL REPORT'!$A$93:$A$96&amp;'COUNCIL REPORT'!$B$93:$B$96,0),MATCH(AV$196,'COUNCIL REPORT'!$C$72:$E$72,0))</f>
        <v>0</v>
      </c>
      <c r="AW201" s="92">
        <f t="array" ref="AW201">INDEX('COUNCIL REPORT'!$C$93:$E$96,MATCH(AW$197,'COUNCIL REPORT'!$A$93:$A$96&amp;'COUNCIL REPORT'!$B$93:$B$96,0),MATCH(AW$196,'COUNCIL REPORT'!$C$72:$E$72,0))</f>
        <v>0</v>
      </c>
      <c r="AX201" s="92"/>
      <c r="AY201" s="92"/>
      <c r="AZ201" s="92"/>
      <c r="BA201" s="92"/>
      <c r="BB201" s="92"/>
      <c r="BC201" s="92"/>
      <c r="BD201" s="124">
        <f t="shared" si="107"/>
        <v>1.1000000000000001</v>
      </c>
      <c r="BE201" s="124">
        <f t="shared" si="107"/>
        <v>0.8</v>
      </c>
      <c r="BF201" s="124">
        <f t="shared" si="107"/>
        <v>1.2000000000000002</v>
      </c>
      <c r="BG201" s="112">
        <f ca="1">SUMIFS(OFFSET('DHHS data'!$R:$R,0,MATCH(BG$196,'DHHS data'!$R$12:$X$12,0)-1),'DHHS data'!$Q:$Q,council)</f>
        <v>182</v>
      </c>
      <c r="BH201" s="112">
        <f ca="1">SUMIFS(OFFSET('DHHS data'!$R:$R,0,MATCH(BH$196,'DHHS data'!$R$12:$X$12,0)-1),'DHHS data'!$Q:$Q,council)</f>
        <v>165</v>
      </c>
      <c r="BI201" s="112">
        <f ca="1">SUMIFS(OFFSET('DHHS data'!$R:$R,0,MATCH(BI$196,'DHHS data'!$R$12:$X$12,0)-1),'DHHS data'!$Q:$Q,council)</f>
        <v>155</v>
      </c>
    </row>
    <row r="202" spans="1:61" x14ac:dyDescent="0.3">
      <c r="A202">
        <v>4</v>
      </c>
      <c r="B202" s="3" t="s">
        <v>215</v>
      </c>
      <c r="C202" s="118">
        <f t="shared" ca="1" si="97"/>
        <v>1.0469642763392006</v>
      </c>
      <c r="D202" s="119">
        <f t="shared" ca="1" si="98"/>
        <v>1.0671883972120583E-3</v>
      </c>
      <c r="E202" s="119">
        <f t="shared" ca="1" si="99"/>
        <v>5.0564814941952518E-4</v>
      </c>
      <c r="F202" s="118">
        <f t="shared" ca="1" si="100"/>
        <v>1.9770268706345318</v>
      </c>
      <c r="G202" s="120">
        <f t="shared" ca="1" si="101"/>
        <v>0</v>
      </c>
      <c r="H202" s="120"/>
      <c r="I202" s="120"/>
      <c r="M202" s="127">
        <f t="shared" ca="1" si="102"/>
        <v>1.2024563671622497</v>
      </c>
      <c r="N202" s="127">
        <f t="shared" ca="1" si="102"/>
        <v>1.0062559947317939</v>
      </c>
      <c r="O202" s="127">
        <f t="shared" ca="1" si="102"/>
        <v>0.93218046712355829</v>
      </c>
      <c r="P202" s="127">
        <f t="shared" ca="1" si="103"/>
        <v>9.9009900990099011E-4</v>
      </c>
      <c r="Q202" s="127">
        <f t="shared" ca="1" si="103"/>
        <v>9.2735703245749607E-4</v>
      </c>
      <c r="R202" s="127">
        <f t="shared" ca="1" si="103"/>
        <v>1.2841091492776886E-3</v>
      </c>
      <c r="S202" s="127">
        <f t="shared" ca="1" si="104"/>
        <v>5.6577086280056586E-4</v>
      </c>
      <c r="T202" s="127">
        <f t="shared" ca="1" si="104"/>
        <v>3.0911901081916539E-4</v>
      </c>
      <c r="U202" s="127">
        <f t="shared" ca="1" si="104"/>
        <v>6.420545746388443E-4</v>
      </c>
      <c r="V202" s="127">
        <f t="shared" ca="1" si="105"/>
        <v>2.1148936170212762</v>
      </c>
      <c r="W202" s="127">
        <f t="shared" ca="1" si="105"/>
        <v>1.9108159048896296</v>
      </c>
      <c r="X202" s="127">
        <f t="shared" ca="1" si="105"/>
        <v>1.9053710899926894</v>
      </c>
      <c r="Y202" s="128">
        <f t="shared" ca="1" si="106"/>
        <v>0</v>
      </c>
      <c r="Z202" s="128">
        <f t="shared" ca="1" si="106"/>
        <v>0</v>
      </c>
      <c r="AA202" s="128">
        <f t="shared" ca="1" si="106"/>
        <v>0</v>
      </c>
      <c r="AB202" s="127"/>
      <c r="AC202" s="127"/>
      <c r="AD202" s="127"/>
      <c r="AE202" s="127"/>
      <c r="AF202" s="127"/>
      <c r="AG202" s="127"/>
      <c r="AI202" s="76">
        <f ca="1">SUMIFS(OFFSET('DHHS data'!$G:$G,0,MATCH(AI$196,'DHHS data'!$G$12:$M$12,0)-1),'DHHS data'!$B:$B,council,'DHHS data'!$D:$D,$B202)</f>
        <v>131</v>
      </c>
      <c r="AJ202" s="76">
        <f ca="1">SUMIFS(OFFSET('DHHS data'!$G:$G,0,MATCH(AJ$196,'DHHS data'!$G$12:$M$12,0)-1),'DHHS data'!$B:$B,council,'DHHS data'!$D:$D,$B202)</f>
        <v>110</v>
      </c>
      <c r="AK202" s="76">
        <f ca="1">SUMIFS(OFFSET('DHHS data'!$G:$G,0,MATCH(AK$196,'DHHS data'!$G$12:$M$12,0)-1),'DHHS data'!$B:$B,council,'DHHS data'!$D:$D,$B202)</f>
        <v>96</v>
      </c>
      <c r="AL202" s="76">
        <f ca="1">SUMIFS(OFFSET('Other data'!$F$8:$F$481,0,MATCH(AL$196,'Other data'!$F$7:$V$7,0)-1),'Other data'!$C$8:$C$481,council,'Other data'!$D$8:$D$481,$A202)</f>
        <v>108.94366197183098</v>
      </c>
      <c r="AM202" s="76">
        <f ca="1">SUMIFS(OFFSET('Other data'!$F$8:$F$481,0,MATCH(AM$196,'Other data'!$F$7:$V$7,0)-1),'Other data'!$C$8:$C$481,council,'Other data'!$D$8:$D$481,$A202)</f>
        <v>109.31611893583724</v>
      </c>
      <c r="AN202" s="76">
        <f ca="1">SUMIFS(OFFSET('Other data'!$F$8:$F$481,0,MATCH(AN$196,'Other data'!$F$7:$V$7,0)-1),'Other data'!$C$8:$C$481,council,'Other data'!$D$8:$D$481,$A202)</f>
        <v>102.98435054773083</v>
      </c>
      <c r="AO202" s="92">
        <f t="array" ref="AO202">INDEX('COUNCIL REPORT'!$C$93:$E$96,MATCH(AO$197,'COUNCIL REPORT'!$A$93:$A$96&amp;'COUNCIL REPORT'!$B$93:$B$96,0),MATCH(AO$196,'COUNCIL REPORT'!$C$72:$E$72,0))</f>
        <v>0.7</v>
      </c>
      <c r="AP202" s="92">
        <f t="array" ref="AP202">INDEX('COUNCIL REPORT'!$C$93:$E$96,MATCH(AP$197,'COUNCIL REPORT'!$A$93:$A$96&amp;'COUNCIL REPORT'!$B$93:$B$96,0),MATCH(AP$196,'COUNCIL REPORT'!$C$72:$E$72,0))</f>
        <v>0.6</v>
      </c>
      <c r="AQ202" s="92">
        <f t="array" ref="AQ202">INDEX('COUNCIL REPORT'!$C$93:$E$96,MATCH(AQ$197,'COUNCIL REPORT'!$A$93:$A$96&amp;'COUNCIL REPORT'!$B$93:$B$96,0),MATCH(AQ$196,'COUNCIL REPORT'!$C$72:$E$72,0))</f>
        <v>0.8</v>
      </c>
      <c r="AR202" s="92">
        <f t="array" ref="AR202">INDEX('COUNCIL REPORT'!$C$93:$E$96,MATCH(AR$197,'COUNCIL REPORT'!$A$93:$A$96&amp;'COUNCIL REPORT'!$B$93:$B$96,0),MATCH(AR$196,'COUNCIL REPORT'!$C$72:$E$72,0))</f>
        <v>0.4</v>
      </c>
      <c r="AS202" s="92">
        <f t="array" ref="AS202">INDEX('COUNCIL REPORT'!$C$93:$E$96,MATCH(AS$197,'COUNCIL REPORT'!$A$93:$A$96&amp;'COUNCIL REPORT'!$B$93:$B$96,0),MATCH(AS$196,'COUNCIL REPORT'!$C$72:$E$72,0))</f>
        <v>0.2</v>
      </c>
      <c r="AT202" s="92">
        <f t="array" ref="AT202">INDEX('COUNCIL REPORT'!$C$93:$E$96,MATCH(AT$197,'COUNCIL REPORT'!$A$93:$A$96&amp;'COUNCIL REPORT'!$B$93:$B$96,0),MATCH(AT$196,'COUNCIL REPORT'!$C$72:$E$72,0))</f>
        <v>0.4</v>
      </c>
      <c r="AU202" s="92">
        <f t="array" ref="AU202">INDEX('COUNCIL REPORT'!$C$93:$E$96,MATCH(AU$197,'COUNCIL REPORT'!$A$93:$A$96&amp;'COUNCIL REPORT'!$B$93:$B$96,0),MATCH(AU$196,'COUNCIL REPORT'!$C$72:$E$72,0))</f>
        <v>0</v>
      </c>
      <c r="AV202" s="92">
        <f t="array" ref="AV202">INDEX('COUNCIL REPORT'!$C$93:$E$96,MATCH(AV$197,'COUNCIL REPORT'!$A$93:$A$96&amp;'COUNCIL REPORT'!$B$93:$B$96,0),MATCH(AV$196,'COUNCIL REPORT'!$C$72:$E$72,0))</f>
        <v>0</v>
      </c>
      <c r="AW202" s="92">
        <f t="array" ref="AW202">INDEX('COUNCIL REPORT'!$C$93:$E$96,MATCH(AW$197,'COUNCIL REPORT'!$A$93:$A$96&amp;'COUNCIL REPORT'!$B$93:$B$96,0),MATCH(AW$196,'COUNCIL REPORT'!$C$72:$E$72,0))</f>
        <v>0</v>
      </c>
      <c r="AX202" s="92"/>
      <c r="AY202" s="92"/>
      <c r="AZ202" s="92"/>
      <c r="BA202" s="92"/>
      <c r="BB202" s="92"/>
      <c r="BC202" s="92"/>
      <c r="BD202" s="124">
        <f t="shared" si="107"/>
        <v>1.1000000000000001</v>
      </c>
      <c r="BE202" s="124">
        <f t="shared" si="107"/>
        <v>0.8</v>
      </c>
      <c r="BF202" s="124">
        <f t="shared" si="107"/>
        <v>1.2000000000000002</v>
      </c>
      <c r="BG202" s="112">
        <f ca="1">SUMIFS(OFFSET('DHHS data'!$R:$R,0,MATCH(BG$196,'DHHS data'!$R$12:$X$12,0)-1),'DHHS data'!$Q:$Q,council)</f>
        <v>182</v>
      </c>
      <c r="BH202" s="112">
        <f ca="1">SUMIFS(OFFSET('DHHS data'!$R:$R,0,MATCH(BH$196,'DHHS data'!$R$12:$X$12,0)-1),'DHHS data'!$Q:$Q,council)</f>
        <v>165</v>
      </c>
      <c r="BI202" s="112">
        <f ca="1">SUMIFS(OFFSET('DHHS data'!$R:$R,0,MATCH(BI$196,'DHHS data'!$R$12:$X$12,0)-1),'DHHS data'!$Q:$Q,council)</f>
        <v>155</v>
      </c>
    </row>
    <row r="203" spans="1:61" x14ac:dyDescent="0.3">
      <c r="A203">
        <v>5</v>
      </c>
      <c r="B203" s="3" t="s">
        <v>216</v>
      </c>
      <c r="C203" s="118">
        <f t="shared" ca="1" si="97"/>
        <v>0.93712900994845072</v>
      </c>
      <c r="D203" s="119">
        <f t="shared" ca="1" si="98"/>
        <v>1.0671883972120583E-3</v>
      </c>
      <c r="E203" s="119">
        <f t="shared" ca="1" si="99"/>
        <v>5.0564814941952518E-4</v>
      </c>
      <c r="F203" s="118">
        <f t="shared" ca="1" si="100"/>
        <v>1.9770268706345318</v>
      </c>
      <c r="G203" s="120">
        <f t="shared" ca="1" si="101"/>
        <v>0</v>
      </c>
      <c r="H203" s="120"/>
      <c r="I203" s="120"/>
      <c r="M203" s="127">
        <f t="shared" ca="1" si="102"/>
        <v>0.99112080205008324</v>
      </c>
      <c r="N203" s="127">
        <f t="shared" ca="1" si="102"/>
        <v>0.99359736577334679</v>
      </c>
      <c r="O203" s="127">
        <f t="shared" ca="1" si="102"/>
        <v>0.82666886202192225</v>
      </c>
      <c r="P203" s="127">
        <f t="shared" ca="1" si="103"/>
        <v>9.9009900990099011E-4</v>
      </c>
      <c r="Q203" s="127">
        <f t="shared" ca="1" si="103"/>
        <v>9.2735703245749607E-4</v>
      </c>
      <c r="R203" s="127">
        <f t="shared" ca="1" si="103"/>
        <v>1.2841091492776886E-3</v>
      </c>
      <c r="S203" s="127">
        <f t="shared" ca="1" si="104"/>
        <v>5.6577086280056586E-4</v>
      </c>
      <c r="T203" s="127">
        <f t="shared" ca="1" si="104"/>
        <v>3.0911901081916539E-4</v>
      </c>
      <c r="U203" s="127">
        <f t="shared" ca="1" si="104"/>
        <v>6.420545746388443E-4</v>
      </c>
      <c r="V203" s="127">
        <f t="shared" ca="1" si="105"/>
        <v>2.1148936170212762</v>
      </c>
      <c r="W203" s="127">
        <f t="shared" ca="1" si="105"/>
        <v>1.9108159048896296</v>
      </c>
      <c r="X203" s="127">
        <f t="shared" ca="1" si="105"/>
        <v>1.9053710899926894</v>
      </c>
      <c r="Y203" s="128">
        <f t="shared" ca="1" si="106"/>
        <v>0</v>
      </c>
      <c r="Z203" s="128">
        <f t="shared" ca="1" si="106"/>
        <v>0</v>
      </c>
      <c r="AA203" s="128">
        <f t="shared" ca="1" si="106"/>
        <v>0</v>
      </c>
      <c r="AB203" s="127"/>
      <c r="AC203" s="127"/>
      <c r="AD203" s="127"/>
      <c r="AE203" s="127"/>
      <c r="AF203" s="127"/>
      <c r="AG203" s="127"/>
      <c r="AI203" s="76">
        <f ca="1">SUMIFS(OFFSET('DHHS data'!$G:$G,0,MATCH(AI$196,'DHHS data'!$G$12:$M$12,0)-1),'DHHS data'!$B:$B,council,'DHHS data'!$D:$D,$B203)</f>
        <v>138</v>
      </c>
      <c r="AJ203" s="76">
        <f ca="1">SUMIFS(OFFSET('DHHS data'!$G:$G,0,MATCH(AJ$196,'DHHS data'!$G$12:$M$12,0)-1),'DHHS data'!$B:$B,council,'DHHS data'!$D:$D,$B203)</f>
        <v>136</v>
      </c>
      <c r="AK203" s="76">
        <f ca="1">SUMIFS(OFFSET('DHHS data'!$G:$G,0,MATCH(AK$196,'DHHS data'!$G$12:$M$12,0)-1),'DHHS data'!$B:$B,council,'DHHS data'!$D:$D,$B203)</f>
        <v>110</v>
      </c>
      <c r="AL203" s="76">
        <f ca="1">SUMIFS(OFFSET('Other data'!$F$8:$F$481,0,MATCH(AL$196,'Other data'!$F$7:$V$7,0)-1),'Other data'!$C$8:$C$481,council,'Other data'!$D$8:$D$481,$A203)</f>
        <v>139.23630672926447</v>
      </c>
      <c r="AM203" s="76">
        <f ca="1">SUMIFS(OFFSET('Other data'!$F$8:$F$481,0,MATCH(AM$196,'Other data'!$F$7:$V$7,0)-1),'Other data'!$C$8:$C$481,council,'Other data'!$D$8:$D$481,$A203)</f>
        <v>136.87636932707355</v>
      </c>
      <c r="AN203" s="76">
        <f ca="1">SUMIFS(OFFSET('Other data'!$F$8:$F$481,0,MATCH(AN$196,'Other data'!$F$7:$V$7,0)-1),'Other data'!$C$8:$C$481,council,'Other data'!$D$8:$D$481,$A203)</f>
        <v>133.0641627543036</v>
      </c>
      <c r="AO203" s="92">
        <f t="array" ref="AO203">INDEX('COUNCIL REPORT'!$C$93:$E$96,MATCH(AO$197,'COUNCIL REPORT'!$A$93:$A$96&amp;'COUNCIL REPORT'!$B$93:$B$96,0),MATCH(AO$196,'COUNCIL REPORT'!$C$72:$E$72,0))</f>
        <v>0.7</v>
      </c>
      <c r="AP203" s="92">
        <f t="array" ref="AP203">INDEX('COUNCIL REPORT'!$C$93:$E$96,MATCH(AP$197,'COUNCIL REPORT'!$A$93:$A$96&amp;'COUNCIL REPORT'!$B$93:$B$96,0),MATCH(AP$196,'COUNCIL REPORT'!$C$72:$E$72,0))</f>
        <v>0.6</v>
      </c>
      <c r="AQ203" s="92">
        <f t="array" ref="AQ203">INDEX('COUNCIL REPORT'!$C$93:$E$96,MATCH(AQ$197,'COUNCIL REPORT'!$A$93:$A$96&amp;'COUNCIL REPORT'!$B$93:$B$96,0),MATCH(AQ$196,'COUNCIL REPORT'!$C$72:$E$72,0))</f>
        <v>0.8</v>
      </c>
      <c r="AR203" s="92">
        <f t="array" ref="AR203">INDEX('COUNCIL REPORT'!$C$93:$E$96,MATCH(AR$197,'COUNCIL REPORT'!$A$93:$A$96&amp;'COUNCIL REPORT'!$B$93:$B$96,0),MATCH(AR$196,'COUNCIL REPORT'!$C$72:$E$72,0))</f>
        <v>0.4</v>
      </c>
      <c r="AS203" s="92">
        <f t="array" ref="AS203">INDEX('COUNCIL REPORT'!$C$93:$E$96,MATCH(AS$197,'COUNCIL REPORT'!$A$93:$A$96&amp;'COUNCIL REPORT'!$B$93:$B$96,0),MATCH(AS$196,'COUNCIL REPORT'!$C$72:$E$72,0))</f>
        <v>0.2</v>
      </c>
      <c r="AT203" s="92">
        <f t="array" ref="AT203">INDEX('COUNCIL REPORT'!$C$93:$E$96,MATCH(AT$197,'COUNCIL REPORT'!$A$93:$A$96&amp;'COUNCIL REPORT'!$B$93:$B$96,0),MATCH(AT$196,'COUNCIL REPORT'!$C$72:$E$72,0))</f>
        <v>0.4</v>
      </c>
      <c r="AU203" s="92">
        <f t="array" ref="AU203">INDEX('COUNCIL REPORT'!$C$93:$E$96,MATCH(AU$197,'COUNCIL REPORT'!$A$93:$A$96&amp;'COUNCIL REPORT'!$B$93:$B$96,0),MATCH(AU$196,'COUNCIL REPORT'!$C$72:$E$72,0))</f>
        <v>0</v>
      </c>
      <c r="AV203" s="92">
        <f t="array" ref="AV203">INDEX('COUNCIL REPORT'!$C$93:$E$96,MATCH(AV$197,'COUNCIL REPORT'!$A$93:$A$96&amp;'COUNCIL REPORT'!$B$93:$B$96,0),MATCH(AV$196,'COUNCIL REPORT'!$C$72:$E$72,0))</f>
        <v>0</v>
      </c>
      <c r="AW203" s="92">
        <f t="array" ref="AW203">INDEX('COUNCIL REPORT'!$C$93:$E$96,MATCH(AW$197,'COUNCIL REPORT'!$A$93:$A$96&amp;'COUNCIL REPORT'!$B$93:$B$96,0),MATCH(AW$196,'COUNCIL REPORT'!$C$72:$E$72,0))</f>
        <v>0</v>
      </c>
      <c r="AX203" s="92"/>
      <c r="AY203" s="92"/>
      <c r="AZ203" s="92"/>
      <c r="BA203" s="92"/>
      <c r="BB203" s="92"/>
      <c r="BC203" s="92"/>
      <c r="BD203" s="124">
        <f t="shared" si="107"/>
        <v>1.1000000000000001</v>
      </c>
      <c r="BE203" s="124">
        <f t="shared" si="107"/>
        <v>0.8</v>
      </c>
      <c r="BF203" s="124">
        <f t="shared" si="107"/>
        <v>1.2000000000000002</v>
      </c>
      <c r="BG203" s="112">
        <f ca="1">SUMIFS(OFFSET('DHHS data'!$R:$R,0,MATCH(BG$196,'DHHS data'!$R$12:$X$12,0)-1),'DHHS data'!$Q:$Q,council)</f>
        <v>182</v>
      </c>
      <c r="BH203" s="112">
        <f ca="1">SUMIFS(OFFSET('DHHS data'!$R:$R,0,MATCH(BH$196,'DHHS data'!$R$12:$X$12,0)-1),'DHHS data'!$Q:$Q,council)</f>
        <v>165</v>
      </c>
      <c r="BI203" s="112">
        <f ca="1">SUMIFS(OFFSET('DHHS data'!$R:$R,0,MATCH(BI$196,'DHHS data'!$R$12:$X$12,0)-1),'DHHS data'!$Q:$Q,council)</f>
        <v>155</v>
      </c>
    </row>
    <row r="208" spans="1:61" x14ac:dyDescent="0.3">
      <c r="B208" t="s">
        <v>407</v>
      </c>
    </row>
    <row r="209" spans="1:17" x14ac:dyDescent="0.3">
      <c r="D209" s="89" t="str">
        <f>'COUNCIL REPORT'!D$2</f>
        <v>2018-19</v>
      </c>
      <c r="E209" s="89" t="str">
        <f>'COUNCIL REPORT'!E$2</f>
        <v>2019-20</v>
      </c>
      <c r="F209" s="89" t="str">
        <f>'COUNCIL REPORT'!F$2</f>
        <v>2020-21</v>
      </c>
      <c r="G209" s="89" t="str">
        <f>'COUNCIL REPORT'!G$2</f>
        <v>2021-22</v>
      </c>
      <c r="H209" s="89" t="str">
        <f>'COUNCIL REPORT'!H$2</f>
        <v>2022-23</v>
      </c>
      <c r="I209" s="89" t="str">
        <f>'COUNCIL REPORT'!I$2</f>
        <v>2023-24</v>
      </c>
      <c r="J209" s="89" t="str">
        <f>'COUNCIL REPORT'!J$2</f>
        <v>2024-25</v>
      </c>
      <c r="K209" s="89" t="str">
        <f>'COUNCIL REPORT'!K$2</f>
        <v>2025-26</v>
      </c>
      <c r="L209" s="89" t="str">
        <f>'COUNCIL REPORT'!L$2</f>
        <v>2026-27</v>
      </c>
      <c r="M209" s="89" t="str">
        <f>'COUNCIL REPORT'!M$2</f>
        <v>2027-28</v>
      </c>
      <c r="N209" s="89" t="str">
        <f>'COUNCIL REPORT'!N$2</f>
        <v>2028-29</v>
      </c>
      <c r="O209" s="89" t="str">
        <f>'COUNCIL REPORT'!O$2</f>
        <v>2029-30</v>
      </c>
      <c r="P209" s="89" t="str">
        <f>'COUNCIL REPORT'!P$2</f>
        <v>2030-31</v>
      </c>
      <c r="Q209" s="89" t="str">
        <f>'COUNCIL REPORT'!Q$2</f>
        <v>2031-32</v>
      </c>
    </row>
    <row r="210" spans="1:17" x14ac:dyDescent="0.3">
      <c r="A210" s="134" t="s">
        <v>211</v>
      </c>
      <c r="B210">
        <v>0</v>
      </c>
      <c r="D210" s="13">
        <f t="array" aca="1" ref="D210" ca="1">SUMIFS(OFFSET('Other data'!$AZ:$AZ,0,MATCH(D$176&amp;$A210,'Other data'!$AZ$8:$CR$8&amp;'Other data'!$AZ$7:$CR$7,0)-1),'Other data'!$AY:$AY,council)</f>
        <v>0.99999999999999978</v>
      </c>
      <c r="E210" s="13">
        <f t="array" aca="1" ref="E210" ca="1">SUMIFS(OFFSET('Other data'!$AZ:$AZ,0,MATCH(E$176&amp;$A210,'Other data'!$AZ$8:$CR$8&amp;'Other data'!$AZ$7:$CR$7,0)-1),'Other data'!$AY:$AY,council)</f>
        <v>0.99999999999999978</v>
      </c>
      <c r="F210" s="13">
        <f t="array" aca="1" ref="F210" ca="1">SUMIFS(OFFSET('Other data'!$AZ:$AZ,0,MATCH(F$176&amp;$A210,'Other data'!$AZ$8:$CR$8&amp;'Other data'!$AZ$7:$CR$7,0)-1),'Other data'!$AY:$AY,council)</f>
        <v>0.99999999999999978</v>
      </c>
      <c r="G210" s="13">
        <f t="array" aca="1" ref="G210" ca="1">SUMIFS(OFFSET('Other data'!$AZ:$AZ,0,MATCH(G$176&amp;$A210,'Other data'!$AZ$8:$CR$8&amp;'Other data'!$AZ$7:$CR$7,0)-1),'Other data'!$AY:$AY,council)</f>
        <v>0.99999999999999978</v>
      </c>
      <c r="H210" s="13">
        <f t="array" aca="1" ref="H210" ca="1">SUMIFS(OFFSET('Other data'!$AZ:$AZ,0,MATCH(H$176&amp;$A210,'Other data'!$AZ$8:$CR$8&amp;'Other data'!$AZ$7:$CR$7,0)-1),'Other data'!$AY:$AY,council)</f>
        <v>0.99999999999999978</v>
      </c>
      <c r="I210" s="13">
        <f t="array" aca="1" ref="I210" ca="1">SUMIFS(OFFSET('Other data'!$AZ:$AZ,0,MATCH(I$176&amp;$A210,'Other data'!$AZ$8:$CR$8&amp;'Other data'!$AZ$7:$CR$7,0)-1),'Other data'!$AY:$AY,council)</f>
        <v>0.99999999999999978</v>
      </c>
      <c r="J210" s="13">
        <f t="array" aca="1" ref="J210" ca="1">SUMIFS(OFFSET('Other data'!$AZ:$AZ,0,MATCH(J$176&amp;$A210,'Other data'!$AZ$8:$CR$8&amp;'Other data'!$AZ$7:$CR$7,0)-1),'Other data'!$AY:$AY,council)</f>
        <v>0.99999999999999978</v>
      </c>
      <c r="K210" s="13">
        <f t="array" aca="1" ref="K210" ca="1">SUMIFS(OFFSET('Other data'!$AZ:$AZ,0,MATCH(K$176&amp;$A210,'Other data'!$AZ$8:$CR$8&amp;'Other data'!$AZ$7:$CR$7,0)-1),'Other data'!$AY:$AY,council)</f>
        <v>0.99999999999999978</v>
      </c>
      <c r="L210" s="13">
        <f t="array" aca="1" ref="L210" ca="1">SUMIFS(OFFSET('Other data'!$AZ:$AZ,0,MATCH(L$176&amp;$A210,'Other data'!$AZ$8:$CR$8&amp;'Other data'!$AZ$7:$CR$7,0)-1),'Other data'!$AY:$AY,council)</f>
        <v>0.99999999999999978</v>
      </c>
      <c r="M210" s="13">
        <f t="array" aca="1" ref="M210" ca="1">SUMIFS(OFFSET('Other data'!$AZ:$AZ,0,MATCH(M$176&amp;$A210,'Other data'!$AZ$8:$CR$8&amp;'Other data'!$AZ$7:$CR$7,0)-1),'Other data'!$AY:$AY,council)</f>
        <v>0.99999999999999978</v>
      </c>
      <c r="N210" s="13">
        <f t="array" aca="1" ref="N210" ca="1">SUMIFS(OFFSET('Other data'!$AZ:$AZ,0,MATCH(N$176&amp;$A210,'Other data'!$AZ$8:$CR$8&amp;'Other data'!$AZ$7:$CR$7,0)-1),'Other data'!$AY:$AY,council)</f>
        <v>0.99999999999999978</v>
      </c>
      <c r="O210" s="13">
        <f t="array" aca="1" ref="O210" ca="1">SUMIFS(OFFSET('Other data'!$AZ:$AZ,0,MATCH(O$176&amp;$A210,'Other data'!$AZ$8:$CR$8&amp;'Other data'!$AZ$7:$CR$7,0)-1),'Other data'!$AY:$AY,council)</f>
        <v>0.99999999999999978</v>
      </c>
      <c r="P210" s="13">
        <f t="array" aca="1" ref="P210" ca="1">SUMIFS(OFFSET('Other data'!$AZ:$AZ,0,MATCH(P$176&amp;$A210,'Other data'!$AZ$8:$CR$8&amp;'Other data'!$AZ$7:$CR$7,0)-1),'Other data'!$AY:$AY,council)</f>
        <v>0.99999999999999978</v>
      </c>
      <c r="Q210" s="13">
        <f t="array" aca="1" ref="Q210" ca="1">SUMIFS(OFFSET('Other data'!$AZ:$AZ,0,MATCH(Q$176&amp;$A210,'Other data'!$AZ$8:$CR$8&amp;'Other data'!$AZ$7:$CR$7,0)-1),'Other data'!$AY:$AY,council)</f>
        <v>0.99999999999999978</v>
      </c>
    </row>
    <row r="211" spans="1:17" x14ac:dyDescent="0.3">
      <c r="A211" s="134" t="s">
        <v>212</v>
      </c>
      <c r="B211">
        <v>1</v>
      </c>
      <c r="D211" s="13">
        <f t="array" aca="1" ref="D211" ca="1">SUMIFS(OFFSET('Other data'!$AZ:$AZ,0,MATCH(D$176&amp;$A211,'Other data'!$AZ$8:$CR$8&amp;'Other data'!$AZ$7:$CR$7,0)-1),'Other data'!$AY:$AY,council)</f>
        <v>5.8143322475570027</v>
      </c>
      <c r="E211" s="13">
        <f t="array" aca="1" ref="E211" ca="1">SUMIFS(OFFSET('Other data'!$AZ:$AZ,0,MATCH(E$176&amp;$A211,'Other data'!$AZ$8:$CR$8&amp;'Other data'!$AZ$7:$CR$7,0)-1),'Other data'!$AY:$AY,council)</f>
        <v>8.6476655808903349</v>
      </c>
      <c r="F211" s="13">
        <f t="array" aca="1" ref="F211" ca="1">SUMIFS(OFFSET('Other data'!$AZ:$AZ,0,MATCH(F$176&amp;$A211,'Other data'!$AZ$8:$CR$8&amp;'Other data'!$AZ$7:$CR$7,0)-1),'Other data'!$AY:$AY,council)</f>
        <v>8.6476655808903349</v>
      </c>
      <c r="G211" s="13">
        <f t="array" aca="1" ref="G211" ca="1">SUMIFS(OFFSET('Other data'!$AZ:$AZ,0,MATCH(G$176&amp;$A211,'Other data'!$AZ$8:$CR$8&amp;'Other data'!$AZ$7:$CR$7,0)-1),'Other data'!$AY:$AY,council)</f>
        <v>8.6476655808903349</v>
      </c>
      <c r="H211" s="13">
        <f t="array" aca="1" ref="H211" ca="1">SUMIFS(OFFSET('Other data'!$AZ:$AZ,0,MATCH(H$176&amp;$A211,'Other data'!$AZ$8:$CR$8&amp;'Other data'!$AZ$7:$CR$7,0)-1),'Other data'!$AY:$AY,council)</f>
        <v>8.6476655808903349</v>
      </c>
      <c r="I211" s="13">
        <f t="array" aca="1" ref="I211" ca="1">SUMIFS(OFFSET('Other data'!$AZ:$AZ,0,MATCH(I$176&amp;$A211,'Other data'!$AZ$8:$CR$8&amp;'Other data'!$AZ$7:$CR$7,0)-1),'Other data'!$AY:$AY,council)</f>
        <v>8.6476655808903349</v>
      </c>
      <c r="J211" s="13">
        <f t="array" aca="1" ref="J211" ca="1">SUMIFS(OFFSET('Other data'!$AZ:$AZ,0,MATCH(J$176&amp;$A211,'Other data'!$AZ$8:$CR$8&amp;'Other data'!$AZ$7:$CR$7,0)-1),'Other data'!$AY:$AY,council)</f>
        <v>8.6476655808903349</v>
      </c>
      <c r="K211" s="13">
        <f t="array" aca="1" ref="K211" ca="1">SUMIFS(OFFSET('Other data'!$AZ:$AZ,0,MATCH(K$176&amp;$A211,'Other data'!$AZ$8:$CR$8&amp;'Other data'!$AZ$7:$CR$7,0)-1),'Other data'!$AY:$AY,council)</f>
        <v>8.6476655808903349</v>
      </c>
      <c r="L211" s="13">
        <f t="array" aca="1" ref="L211" ca="1">SUMIFS(OFFSET('Other data'!$AZ:$AZ,0,MATCH(L$176&amp;$A211,'Other data'!$AZ$8:$CR$8&amp;'Other data'!$AZ$7:$CR$7,0)-1),'Other data'!$AY:$AY,council)</f>
        <v>8.6476655808903349</v>
      </c>
      <c r="M211" s="13">
        <f t="array" aca="1" ref="M211" ca="1">SUMIFS(OFFSET('Other data'!$AZ:$AZ,0,MATCH(M$176&amp;$A211,'Other data'!$AZ$8:$CR$8&amp;'Other data'!$AZ$7:$CR$7,0)-1),'Other data'!$AY:$AY,council)</f>
        <v>8.6476655808903349</v>
      </c>
      <c r="N211" s="13">
        <f t="array" aca="1" ref="N211" ca="1">SUMIFS(OFFSET('Other data'!$AZ:$AZ,0,MATCH(N$176&amp;$A211,'Other data'!$AZ$8:$CR$8&amp;'Other data'!$AZ$7:$CR$7,0)-1),'Other data'!$AY:$AY,council)</f>
        <v>8.6476655808903349</v>
      </c>
      <c r="O211" s="13">
        <f t="array" aca="1" ref="O211" ca="1">SUMIFS(OFFSET('Other data'!$AZ:$AZ,0,MATCH(O$176&amp;$A211,'Other data'!$AZ$8:$CR$8&amp;'Other data'!$AZ$7:$CR$7,0)-1),'Other data'!$AY:$AY,council)</f>
        <v>8.6476655808903349</v>
      </c>
      <c r="P211" s="13">
        <f t="array" aca="1" ref="P211" ca="1">SUMIFS(OFFSET('Other data'!$AZ:$AZ,0,MATCH(P$176&amp;$A211,'Other data'!$AZ$8:$CR$8&amp;'Other data'!$AZ$7:$CR$7,0)-1),'Other data'!$AY:$AY,council)</f>
        <v>8.6476655808903349</v>
      </c>
      <c r="Q211" s="13">
        <f t="array" aca="1" ref="Q211" ca="1">SUMIFS(OFFSET('Other data'!$AZ:$AZ,0,MATCH(Q$176&amp;$A211,'Other data'!$AZ$8:$CR$8&amp;'Other data'!$AZ$7:$CR$7,0)-1),'Other data'!$AY:$AY,council)</f>
        <v>8.6476655808903349</v>
      </c>
    </row>
    <row r="212" spans="1:17" x14ac:dyDescent="0.3">
      <c r="A212" s="134" t="s">
        <v>213</v>
      </c>
      <c r="B212">
        <v>2</v>
      </c>
      <c r="D212" s="13">
        <f t="array" aca="1" ref="D212" ca="1">SUMIFS(OFFSET('Other data'!$AZ:$AZ,0,MATCH(D$176&amp;$A212,'Other data'!$AZ$8:$CR$8&amp;'Other data'!$AZ$7:$CR$7,0)-1),'Other data'!$AY:$AY,council)</f>
        <v>0</v>
      </c>
      <c r="E212" s="13">
        <f t="array" aca="1" ref="E212" ca="1">SUMIFS(OFFSET('Other data'!$AZ:$AZ,0,MATCH(E$176&amp;$A212,'Other data'!$AZ$8:$CR$8&amp;'Other data'!$AZ$7:$CR$7,0)-1),'Other data'!$AY:$AY,council)</f>
        <v>4.3238327904451674</v>
      </c>
      <c r="F212" s="13">
        <f t="array" aca="1" ref="F212" ca="1">SUMIFS(OFFSET('Other data'!$AZ:$AZ,0,MATCH(F$176&amp;$A212,'Other data'!$AZ$8:$CR$8&amp;'Other data'!$AZ$7:$CR$7,0)-1),'Other data'!$AY:$AY,council)</f>
        <v>8.6476655808903349</v>
      </c>
      <c r="G212" s="13">
        <f t="array" aca="1" ref="G212" ca="1">SUMIFS(OFFSET('Other data'!$AZ:$AZ,0,MATCH(G$176&amp;$A212,'Other data'!$AZ$8:$CR$8&amp;'Other data'!$AZ$7:$CR$7,0)-1),'Other data'!$AY:$AY,council)</f>
        <v>8.6476655808903349</v>
      </c>
      <c r="H212" s="13">
        <f t="array" aca="1" ref="H212" ca="1">SUMIFS(OFFSET('Other data'!$AZ:$AZ,0,MATCH(H$176&amp;$A212,'Other data'!$AZ$8:$CR$8&amp;'Other data'!$AZ$7:$CR$7,0)-1),'Other data'!$AY:$AY,council)</f>
        <v>8.6476655808903349</v>
      </c>
      <c r="I212" s="13">
        <f t="array" aca="1" ref="I212" ca="1">SUMIFS(OFFSET('Other data'!$AZ:$AZ,0,MATCH(I$176&amp;$A212,'Other data'!$AZ$8:$CR$8&amp;'Other data'!$AZ$7:$CR$7,0)-1),'Other data'!$AY:$AY,council)</f>
        <v>8.6476655808903349</v>
      </c>
      <c r="J212" s="13">
        <f t="array" aca="1" ref="J212" ca="1">SUMIFS(OFFSET('Other data'!$AZ:$AZ,0,MATCH(J$176&amp;$A212,'Other data'!$AZ$8:$CR$8&amp;'Other data'!$AZ$7:$CR$7,0)-1),'Other data'!$AY:$AY,council)</f>
        <v>8.6476655808903349</v>
      </c>
      <c r="K212" s="13">
        <f t="array" aca="1" ref="K212" ca="1">SUMIFS(OFFSET('Other data'!$AZ:$AZ,0,MATCH(K$176&amp;$A212,'Other data'!$AZ$8:$CR$8&amp;'Other data'!$AZ$7:$CR$7,0)-1),'Other data'!$AY:$AY,council)</f>
        <v>8.6476655808903349</v>
      </c>
      <c r="L212" s="13">
        <f t="array" aca="1" ref="L212" ca="1">SUMIFS(OFFSET('Other data'!$AZ:$AZ,0,MATCH(L$176&amp;$A212,'Other data'!$AZ$8:$CR$8&amp;'Other data'!$AZ$7:$CR$7,0)-1),'Other data'!$AY:$AY,council)</f>
        <v>8.6476655808903349</v>
      </c>
      <c r="M212" s="13">
        <f t="array" aca="1" ref="M212" ca="1">SUMIFS(OFFSET('Other data'!$AZ:$AZ,0,MATCH(M$176&amp;$A212,'Other data'!$AZ$8:$CR$8&amp;'Other data'!$AZ$7:$CR$7,0)-1),'Other data'!$AY:$AY,council)</f>
        <v>8.6476655808903349</v>
      </c>
      <c r="N212" s="13">
        <f t="array" aca="1" ref="N212" ca="1">SUMIFS(OFFSET('Other data'!$AZ:$AZ,0,MATCH(N$176&amp;$A212,'Other data'!$AZ$8:$CR$8&amp;'Other data'!$AZ$7:$CR$7,0)-1),'Other data'!$AY:$AY,council)</f>
        <v>8.6476655808903349</v>
      </c>
      <c r="O212" s="13">
        <f t="array" aca="1" ref="O212" ca="1">SUMIFS(OFFSET('Other data'!$AZ:$AZ,0,MATCH(O$176&amp;$A212,'Other data'!$AZ$8:$CR$8&amp;'Other data'!$AZ$7:$CR$7,0)-1),'Other data'!$AY:$AY,council)</f>
        <v>8.6476655808903349</v>
      </c>
      <c r="P212" s="13">
        <f t="array" aca="1" ref="P212" ca="1">SUMIFS(OFFSET('Other data'!$AZ:$AZ,0,MATCH(P$176&amp;$A212,'Other data'!$AZ$8:$CR$8&amp;'Other data'!$AZ$7:$CR$7,0)-1),'Other data'!$AY:$AY,council)</f>
        <v>8.6476655808903349</v>
      </c>
      <c r="Q212" s="13">
        <f t="array" aca="1" ref="Q212" ca="1">SUMIFS(OFFSET('Other data'!$AZ:$AZ,0,MATCH(Q$176&amp;$A212,'Other data'!$AZ$8:$CR$8&amp;'Other data'!$AZ$7:$CR$7,0)-1),'Other data'!$AY:$AY,council)</f>
        <v>8.6476655808903349</v>
      </c>
    </row>
    <row r="213" spans="1:17" x14ac:dyDescent="0.3">
      <c r="A213" s="134" t="s">
        <v>214</v>
      </c>
      <c r="B213">
        <v>3</v>
      </c>
      <c r="D213" s="13">
        <v>1</v>
      </c>
      <c r="E213" s="13">
        <v>1</v>
      </c>
      <c r="F213" s="13">
        <v>1</v>
      </c>
      <c r="G213" s="13">
        <v>1</v>
      </c>
      <c r="H213" s="13">
        <v>1</v>
      </c>
      <c r="I213" s="13">
        <v>1</v>
      </c>
      <c r="J213" s="13">
        <v>1</v>
      </c>
      <c r="K213" s="13">
        <v>1</v>
      </c>
      <c r="L213" s="13">
        <v>1</v>
      </c>
      <c r="M213" s="13">
        <v>1</v>
      </c>
      <c r="N213" s="13">
        <v>1</v>
      </c>
      <c r="O213" s="13">
        <v>1</v>
      </c>
      <c r="P213" s="13">
        <v>1</v>
      </c>
      <c r="Q213" s="13">
        <v>1</v>
      </c>
    </row>
    <row r="214" spans="1:17" x14ac:dyDescent="0.3">
      <c r="A214" s="134" t="s">
        <v>215</v>
      </c>
      <c r="B214">
        <v>4</v>
      </c>
      <c r="D214" s="13">
        <v>1</v>
      </c>
      <c r="E214" s="13">
        <v>1</v>
      </c>
      <c r="F214" s="13">
        <v>1</v>
      </c>
      <c r="G214" s="13">
        <v>1</v>
      </c>
      <c r="H214" s="13">
        <v>1</v>
      </c>
      <c r="I214" s="13">
        <v>1</v>
      </c>
      <c r="J214" s="13">
        <v>1</v>
      </c>
      <c r="K214" s="13">
        <v>1</v>
      </c>
      <c r="L214" s="13">
        <v>1</v>
      </c>
      <c r="M214" s="13">
        <v>1</v>
      </c>
      <c r="N214" s="13">
        <v>1</v>
      </c>
      <c r="O214" s="13">
        <v>1</v>
      </c>
      <c r="P214" s="13">
        <v>1</v>
      </c>
      <c r="Q214" s="13">
        <v>1</v>
      </c>
    </row>
    <row r="215" spans="1:17" x14ac:dyDescent="0.3">
      <c r="A215" s="134" t="s">
        <v>216</v>
      </c>
      <c r="B215">
        <v>5</v>
      </c>
      <c r="D215" s="13">
        <v>1</v>
      </c>
      <c r="E215" s="13">
        <v>1</v>
      </c>
      <c r="F215" s="13">
        <v>1</v>
      </c>
      <c r="G215" s="13">
        <v>1</v>
      </c>
      <c r="H215" s="13">
        <v>1</v>
      </c>
      <c r="I215" s="13">
        <v>1</v>
      </c>
      <c r="J215" s="13">
        <v>1</v>
      </c>
      <c r="K215" s="13">
        <v>1</v>
      </c>
      <c r="L215" s="13">
        <v>1</v>
      </c>
      <c r="M215" s="13">
        <v>1</v>
      </c>
      <c r="N215" s="13">
        <v>1</v>
      </c>
      <c r="O215" s="13">
        <v>1</v>
      </c>
      <c r="P215" s="13">
        <v>1</v>
      </c>
      <c r="Q215" s="13">
        <v>1</v>
      </c>
    </row>
    <row r="219" spans="1:17" x14ac:dyDescent="0.3">
      <c r="A219" s="18" t="s">
        <v>94</v>
      </c>
      <c r="D219" s="89" t="str">
        <f>'COUNCIL REPORT'!D$2</f>
        <v>2018-19</v>
      </c>
      <c r="E219" s="89" t="str">
        <f>'COUNCIL REPORT'!E$2</f>
        <v>2019-20</v>
      </c>
      <c r="F219" s="89" t="str">
        <f>'COUNCIL REPORT'!F$2</f>
        <v>2020-21</v>
      </c>
      <c r="G219" s="89" t="str">
        <f>'COUNCIL REPORT'!G$2</f>
        <v>2021-22</v>
      </c>
      <c r="H219" s="89" t="str">
        <f>'COUNCIL REPORT'!H$2</f>
        <v>2022-23</v>
      </c>
      <c r="I219" s="89" t="str">
        <f>'COUNCIL REPORT'!I$2</f>
        <v>2023-24</v>
      </c>
      <c r="J219" s="89" t="str">
        <f>'COUNCIL REPORT'!J$2</f>
        <v>2024-25</v>
      </c>
      <c r="K219" s="89" t="str">
        <f>'COUNCIL REPORT'!K$2</f>
        <v>2025-26</v>
      </c>
      <c r="L219" s="89" t="str">
        <f>'COUNCIL REPORT'!L$2</f>
        <v>2026-27</v>
      </c>
      <c r="M219" s="89" t="str">
        <f>'COUNCIL REPORT'!M$2</f>
        <v>2027-28</v>
      </c>
      <c r="N219" s="89" t="str">
        <f>'COUNCIL REPORT'!N$2</f>
        <v>2028-29</v>
      </c>
      <c r="O219" s="89" t="str">
        <f>'COUNCIL REPORT'!O$2</f>
        <v>2029-30</v>
      </c>
      <c r="P219" s="89" t="str">
        <f>'COUNCIL REPORT'!P$2</f>
        <v>2030-31</v>
      </c>
      <c r="Q219" s="89" t="str">
        <f>'COUNCIL REPORT'!Q$2</f>
        <v>2031-32</v>
      </c>
    </row>
    <row r="220" spans="1:17" x14ac:dyDescent="0.3">
      <c r="A220">
        <v>0</v>
      </c>
      <c r="B220" s="3" t="s">
        <v>195</v>
      </c>
      <c r="D220" s="13">
        <f t="shared" ref="D220:Q220" ca="1" si="108">D179*$C198*$D198</f>
        <v>0.10865445294299877</v>
      </c>
      <c r="E220" s="13">
        <f t="shared" ca="1" si="108"/>
        <v>0.10859994077962723</v>
      </c>
      <c r="F220" s="13">
        <f t="shared" ca="1" si="108"/>
        <v>0.10858146802593802</v>
      </c>
      <c r="G220" s="13">
        <f t="shared" ca="1" si="108"/>
        <v>0.10861007088547377</v>
      </c>
      <c r="H220" s="13">
        <f t="shared" ca="1" si="108"/>
        <v>0.10867058444055652</v>
      </c>
      <c r="I220" s="13">
        <f t="shared" ca="1" si="108"/>
        <v>0.10880070654506747</v>
      </c>
      <c r="J220" s="13">
        <f t="shared" ca="1" si="108"/>
        <v>0.10893561591698564</v>
      </c>
      <c r="K220" s="13">
        <f t="shared" ca="1" si="108"/>
        <v>0.10906464807931029</v>
      </c>
      <c r="L220" s="13">
        <f t="shared" ca="1" si="108"/>
        <v>0.10918885924619814</v>
      </c>
      <c r="M220" s="13">
        <f t="shared" ca="1" si="108"/>
        <v>0.10931305955542749</v>
      </c>
      <c r="N220" s="13">
        <f t="shared" ca="1" si="108"/>
        <v>0.10944727086769138</v>
      </c>
      <c r="O220" s="13">
        <f t="shared" ca="1" si="108"/>
        <v>0.1095949260472005</v>
      </c>
      <c r="P220" s="13">
        <f t="shared" ca="1" si="108"/>
        <v>0.10975695301741252</v>
      </c>
      <c r="Q220" s="13">
        <f t="shared" ca="1" si="108"/>
        <v>0.10990983552110233</v>
      </c>
    </row>
    <row r="221" spans="1:17" x14ac:dyDescent="0.3">
      <c r="A221">
        <v>1</v>
      </c>
      <c r="B221" s="3" t="s">
        <v>195</v>
      </c>
      <c r="D221" s="13">
        <f t="shared" ref="D221:Q221" ca="1" si="109">D180*$C199*$D199</f>
        <v>0.10289748942975706</v>
      </c>
      <c r="E221" s="13">
        <f t="shared" ca="1" si="109"/>
        <v>0.10639870793769859</v>
      </c>
      <c r="F221" s="13">
        <f t="shared" ca="1" si="109"/>
        <v>0.10634532748625346</v>
      </c>
      <c r="G221" s="13">
        <f t="shared" ca="1" si="109"/>
        <v>0.1063272382402875</v>
      </c>
      <c r="H221" s="13">
        <f t="shared" ca="1" si="109"/>
        <v>0.10635524728377808</v>
      </c>
      <c r="I221" s="13">
        <f t="shared" ca="1" si="109"/>
        <v>0.10641450453370323</v>
      </c>
      <c r="J221" s="13">
        <f t="shared" ca="1" si="109"/>
        <v>0.1065419252092402</v>
      </c>
      <c r="K221" s="13">
        <f t="shared" ca="1" si="109"/>
        <v>0.10667403376505163</v>
      </c>
      <c r="L221" s="13">
        <f t="shared" ca="1" si="109"/>
        <v>0.10680038712639021</v>
      </c>
      <c r="M221" s="13">
        <f t="shared" ca="1" si="109"/>
        <v>0.10692201957964304</v>
      </c>
      <c r="N221" s="13">
        <f t="shared" ca="1" si="109"/>
        <v>0.10704364140065019</v>
      </c>
      <c r="O221" s="13">
        <f t="shared" ca="1" si="109"/>
        <v>0.10717506638903049</v>
      </c>
      <c r="P221" s="13">
        <f t="shared" ca="1" si="109"/>
        <v>0.10731965614025148</v>
      </c>
      <c r="Q221" s="13">
        <f t="shared" ca="1" si="109"/>
        <v>0.10747831931340888</v>
      </c>
    </row>
    <row r="222" spans="1:17" x14ac:dyDescent="0.3">
      <c r="A222">
        <v>2</v>
      </c>
      <c r="B222" s="3" t="s">
        <v>195</v>
      </c>
      <c r="D222" s="13">
        <f t="shared" ref="D222:Q222" ca="1" si="110">D181*$C200*$D200</f>
        <v>0.10728823423494918</v>
      </c>
      <c r="E222" s="13">
        <f t="shared" ca="1" si="110"/>
        <v>9.9852416020645776E-2</v>
      </c>
      <c r="F222" s="13">
        <f t="shared" ca="1" si="110"/>
        <v>0.10325002201639577</v>
      </c>
      <c r="G222" s="13">
        <f t="shared" ca="1" si="110"/>
        <v>0.10319822126717818</v>
      </c>
      <c r="H222" s="13">
        <f t="shared" ca="1" si="110"/>
        <v>0.10318066734119122</v>
      </c>
      <c r="I222" s="13">
        <f t="shared" ca="1" si="110"/>
        <v>0.10320784750543491</v>
      </c>
      <c r="J222" s="13">
        <f t="shared" ca="1" si="110"/>
        <v>0.10326535113943565</v>
      </c>
      <c r="K222" s="13">
        <f t="shared" ca="1" si="110"/>
        <v>0.10338900102024286</v>
      </c>
      <c r="L222" s="13">
        <f t="shared" ca="1" si="110"/>
        <v>0.10351720005160771</v>
      </c>
      <c r="M222" s="13">
        <f t="shared" ca="1" si="110"/>
        <v>0.10363981420353606</v>
      </c>
      <c r="N222" s="13">
        <f t="shared" ca="1" si="110"/>
        <v>0.10375784715449647</v>
      </c>
      <c r="O222" s="13">
        <f t="shared" ca="1" si="110"/>
        <v>0.10387586978785417</v>
      </c>
      <c r="P222" s="13">
        <f t="shared" ca="1" si="110"/>
        <v>0.10400340548078492</v>
      </c>
      <c r="Q222" s="13">
        <f t="shared" ca="1" si="110"/>
        <v>0.1041437163481467</v>
      </c>
    </row>
    <row r="223" spans="1:17" x14ac:dyDescent="0.3">
      <c r="A223">
        <v>3</v>
      </c>
      <c r="B223" s="3" t="s">
        <v>195</v>
      </c>
      <c r="D223" s="13">
        <f t="shared" ref="D223:Q223" ca="1" si="111">D182*$C201*$D201</f>
        <v>9.8287316709350342E-2</v>
      </c>
      <c r="E223" s="13">
        <f t="shared" ca="1" si="111"/>
        <v>0.10027291906711501</v>
      </c>
      <c r="F223" s="13">
        <f t="shared" ca="1" si="111"/>
        <v>9.332331081493872E-2</v>
      </c>
      <c r="G223" s="13">
        <f t="shared" ca="1" si="111"/>
        <v>9.6498755666493602E-2</v>
      </c>
      <c r="H223" s="13">
        <f t="shared" ca="1" si="111"/>
        <v>9.6450342041542556E-2</v>
      </c>
      <c r="I223" s="13">
        <f t="shared" ca="1" si="111"/>
        <v>9.6433935923832148E-2</v>
      </c>
      <c r="J223" s="13">
        <f t="shared" ca="1" si="111"/>
        <v>9.64593388436292E-2</v>
      </c>
      <c r="K223" s="13">
        <f t="shared" ca="1" si="111"/>
        <v>9.6513082455678911E-2</v>
      </c>
      <c r="L223" s="13">
        <f t="shared" ca="1" si="111"/>
        <v>9.6628647173275878E-2</v>
      </c>
      <c r="M223" s="13">
        <f t="shared" ca="1" si="111"/>
        <v>9.6748463583604533E-2</v>
      </c>
      <c r="N223" s="13">
        <f t="shared" ca="1" si="111"/>
        <v>9.6863060296100215E-2</v>
      </c>
      <c r="O223" s="13">
        <f t="shared" ca="1" si="111"/>
        <v>9.6973375361151901E-2</v>
      </c>
      <c r="P223" s="13">
        <f t="shared" ca="1" si="111"/>
        <v>9.7083680783243628E-2</v>
      </c>
      <c r="Q223" s="13">
        <f t="shared" ca="1" si="111"/>
        <v>9.7202877229215598E-2</v>
      </c>
    </row>
    <row r="224" spans="1:17" x14ac:dyDescent="0.3">
      <c r="A224">
        <v>4</v>
      </c>
      <c r="B224" s="3" t="s">
        <v>195</v>
      </c>
      <c r="D224" s="13">
        <f t="shared" ref="D224:Q224" ca="1" si="112">D183*$C202*$D202</f>
        <v>0.1063628379131874</v>
      </c>
      <c r="E224" s="13">
        <f t="shared" ca="1" si="112"/>
        <v>9.5726554121868659E-2</v>
      </c>
      <c r="F224" s="13">
        <f t="shared" ca="1" si="112"/>
        <v>9.7660423902108454E-2</v>
      </c>
      <c r="G224" s="13">
        <f t="shared" ca="1" si="112"/>
        <v>9.0891879671269257E-2</v>
      </c>
      <c r="H224" s="13">
        <f t="shared" ca="1" si="112"/>
        <v>9.3984591972514311E-2</v>
      </c>
      <c r="I224" s="13">
        <f t="shared" ca="1" si="112"/>
        <v>9.3937439708679335E-2</v>
      </c>
      <c r="J224" s="13">
        <f t="shared" ca="1" si="112"/>
        <v>9.392146103342891E-2</v>
      </c>
      <c r="K224" s="13">
        <f t="shared" ca="1" si="112"/>
        <v>9.3946202109472285E-2</v>
      </c>
      <c r="L224" s="13">
        <f t="shared" ca="1" si="112"/>
        <v>9.3998545493744284E-2</v>
      </c>
      <c r="M224" s="13">
        <f t="shared" ca="1" si="112"/>
        <v>9.4111099306016299E-2</v>
      </c>
      <c r="N224" s="13">
        <f t="shared" ca="1" si="112"/>
        <v>9.4227794038073437E-2</v>
      </c>
      <c r="O224" s="13">
        <f t="shared" ca="1" si="112"/>
        <v>9.4339405065499773E-2</v>
      </c>
      <c r="P224" s="13">
        <f t="shared" ca="1" si="112"/>
        <v>9.444684599886409E-2</v>
      </c>
      <c r="Q224" s="13">
        <f t="shared" ca="1" si="112"/>
        <v>9.4554277540504647E-2</v>
      </c>
    </row>
    <row r="225" spans="1:17" x14ac:dyDescent="0.3">
      <c r="A225">
        <v>5</v>
      </c>
      <c r="B225" s="3" t="s">
        <v>195</v>
      </c>
      <c r="D225" s="13">
        <f t="shared" ref="D225:Q225" ca="1" si="113">D184*$C203*$D203</f>
        <v>0.10299394931821074</v>
      </c>
      <c r="E225" s="13">
        <f t="shared" ca="1" si="113"/>
        <v>9.5204490966413285E-2</v>
      </c>
      <c r="F225" s="13">
        <f t="shared" ca="1" si="113"/>
        <v>8.5684041869771951E-2</v>
      </c>
      <c r="G225" s="13">
        <f t="shared" ca="1" si="113"/>
        <v>8.7415032614615848E-2</v>
      </c>
      <c r="H225" s="13">
        <f t="shared" ca="1" si="113"/>
        <v>8.1356565007662279E-2</v>
      </c>
      <c r="I225" s="13">
        <f t="shared" ca="1" si="113"/>
        <v>8.4124826048101231E-2</v>
      </c>
      <c r="J225" s="13">
        <f t="shared" ca="1" si="113"/>
        <v>8.4082620449187198E-2</v>
      </c>
      <c r="K225" s="13">
        <f t="shared" ca="1" si="113"/>
        <v>8.4068318069959805E-2</v>
      </c>
      <c r="L225" s="13">
        <f t="shared" ca="1" si="113"/>
        <v>8.4090463601208171E-2</v>
      </c>
      <c r="M225" s="13">
        <f t="shared" ca="1" si="113"/>
        <v>8.4137315728820092E-2</v>
      </c>
      <c r="N225" s="13">
        <f t="shared" ca="1" si="113"/>
        <v>8.4238061709408105E-2</v>
      </c>
      <c r="O225" s="13">
        <f t="shared" ca="1" si="113"/>
        <v>8.4342514192831217E-2</v>
      </c>
      <c r="P225" s="13">
        <f t="shared" ca="1" si="113"/>
        <v>8.4442416294550571E-2</v>
      </c>
      <c r="Q225" s="13">
        <f t="shared" ca="1" si="113"/>
        <v>8.4538585779782377E-2</v>
      </c>
    </row>
    <row r="227" spans="1:17" x14ac:dyDescent="0.3">
      <c r="A227">
        <v>0</v>
      </c>
      <c r="B227" s="3" t="s">
        <v>400</v>
      </c>
      <c r="D227" s="13">
        <f t="shared" ref="D227:Q227" ca="1" si="114">D179*$E198*$C198*D210</f>
        <v>5.1481934399162162E-2</v>
      </c>
      <c r="E227" s="13">
        <f t="shared" ca="1" si="114"/>
        <v>5.1456105806383524E-2</v>
      </c>
      <c r="F227" s="13">
        <f t="shared" ca="1" si="114"/>
        <v>5.1447353168384419E-2</v>
      </c>
      <c r="G227" s="13">
        <f t="shared" ca="1" si="114"/>
        <v>5.1460905586148839E-2</v>
      </c>
      <c r="H227" s="13">
        <f t="shared" ca="1" si="114"/>
        <v>5.1489577718662964E-2</v>
      </c>
      <c r="I227" s="13">
        <f t="shared" ca="1" si="114"/>
        <v>5.1551231313769895E-2</v>
      </c>
      <c r="J227" s="13">
        <f t="shared" ca="1" si="114"/>
        <v>5.161515318026319E-2</v>
      </c>
      <c r="K227" s="13">
        <f t="shared" ca="1" si="114"/>
        <v>5.1676290346170828E-2</v>
      </c>
      <c r="L227" s="13">
        <f t="shared" ca="1" si="114"/>
        <v>5.1735143259900175E-2</v>
      </c>
      <c r="M227" s="13">
        <f t="shared" ca="1" si="114"/>
        <v>5.1793991029125568E-2</v>
      </c>
      <c r="N227" s="13">
        <f t="shared" ca="1" si="114"/>
        <v>5.1857582145609489E-2</v>
      </c>
      <c r="O227" s="13">
        <f t="shared" ca="1" si="114"/>
        <v>5.1927543146371907E-2</v>
      </c>
      <c r="P227" s="13">
        <f t="shared" ca="1" si="114"/>
        <v>5.2004313693969489E-2</v>
      </c>
      <c r="Q227" s="13">
        <f t="shared" ca="1" si="114"/>
        <v>5.2076751470908705E-2</v>
      </c>
    </row>
    <row r="228" spans="1:17" x14ac:dyDescent="0.3">
      <c r="A228">
        <v>1</v>
      </c>
      <c r="B228" s="3" t="s">
        <v>400</v>
      </c>
      <c r="D228" s="13">
        <f t="shared" ref="D228:Q228" ca="1" si="115">D180*$E199*$C199*D211</f>
        <v>0.28347316387225824</v>
      </c>
      <c r="E228" s="13">
        <f t="shared" ca="1" si="115"/>
        <v>0.43595590829965608</v>
      </c>
      <c r="F228" s="13">
        <f t="shared" ca="1" si="115"/>
        <v>0.43573718832037939</v>
      </c>
      <c r="G228" s="13">
        <f t="shared" ca="1" si="115"/>
        <v>0.43566306981078079</v>
      </c>
      <c r="H228" s="13">
        <f t="shared" ca="1" si="115"/>
        <v>0.4357778334975983</v>
      </c>
      <c r="I228" s="13">
        <f t="shared" ca="1" si="115"/>
        <v>0.4360206329517945</v>
      </c>
      <c r="J228" s="13">
        <f t="shared" ca="1" si="115"/>
        <v>0.43654272384384185</v>
      </c>
      <c r="K228" s="13">
        <f t="shared" ca="1" si="115"/>
        <v>0.43708402276146269</v>
      </c>
      <c r="L228" s="13">
        <f t="shared" ca="1" si="115"/>
        <v>0.43760174046195699</v>
      </c>
      <c r="M228" s="13">
        <f t="shared" ca="1" si="115"/>
        <v>0.43810011480939359</v>
      </c>
      <c r="N228" s="13">
        <f t="shared" ca="1" si="115"/>
        <v>0.43859844559248246</v>
      </c>
      <c r="O228" s="13">
        <f t="shared" ca="1" si="115"/>
        <v>0.43913694367477268</v>
      </c>
      <c r="P228" s="13">
        <f t="shared" ca="1" si="115"/>
        <v>0.43972938278936491</v>
      </c>
      <c r="Q228" s="13">
        <f t="shared" ca="1" si="115"/>
        <v>0.44037948605761168</v>
      </c>
    </row>
    <row r="229" spans="1:17" x14ac:dyDescent="0.3">
      <c r="A229">
        <v>2</v>
      </c>
      <c r="B229" s="3" t="s">
        <v>400</v>
      </c>
      <c r="D229" s="13">
        <f t="shared" ref="D229:Q229" ca="1" si="116">D181*$E200*$C200*D212</f>
        <v>0</v>
      </c>
      <c r="E229" s="13">
        <f t="shared" ca="1" si="116"/>
        <v>0.20456663227379296</v>
      </c>
      <c r="F229" s="13">
        <f t="shared" ca="1" si="116"/>
        <v>0.42305454645628027</v>
      </c>
      <c r="G229" s="13">
        <f t="shared" ca="1" si="116"/>
        <v>0.42284229911687676</v>
      </c>
      <c r="H229" s="13">
        <f t="shared" ca="1" si="116"/>
        <v>0.42277037401650469</v>
      </c>
      <c r="I229" s="13">
        <f t="shared" ca="1" si="116"/>
        <v>0.42288174147030427</v>
      </c>
      <c r="J229" s="13">
        <f t="shared" ca="1" si="116"/>
        <v>0.42311735569417258</v>
      </c>
      <c r="K229" s="13">
        <f t="shared" ca="1" si="116"/>
        <v>0.42362399620836011</v>
      </c>
      <c r="L229" s="13">
        <f t="shared" ca="1" si="116"/>
        <v>0.42414927631979271</v>
      </c>
      <c r="M229" s="13">
        <f t="shared" ca="1" si="116"/>
        <v>0.4246516730594751</v>
      </c>
      <c r="N229" s="13">
        <f t="shared" ca="1" si="116"/>
        <v>0.42513529887921125</v>
      </c>
      <c r="O229" s="13">
        <f t="shared" ca="1" si="116"/>
        <v>0.4256188824238113</v>
      </c>
      <c r="P229" s="13">
        <f t="shared" ca="1" si="116"/>
        <v>0.42614144458579545</v>
      </c>
      <c r="Q229" s="13">
        <f t="shared" ca="1" si="116"/>
        <v>0.42671635148843223</v>
      </c>
    </row>
    <row r="230" spans="1:17" x14ac:dyDescent="0.3">
      <c r="A230">
        <v>3</v>
      </c>
      <c r="B230" s="3" t="s">
        <v>400</v>
      </c>
      <c r="D230" s="13">
        <f t="shared" ref="D230:Q230" ca="1" si="117">D182*$E201*$C201*D213</f>
        <v>4.6569846463218476E-2</v>
      </c>
      <c r="E230" s="13">
        <f t="shared" ca="1" si="117"/>
        <v>4.7510651442273399E-2</v>
      </c>
      <c r="F230" s="13">
        <f t="shared" ca="1" si="117"/>
        <v>4.4217834015581194E-2</v>
      </c>
      <c r="G230" s="13">
        <f t="shared" ca="1" si="117"/>
        <v>4.5722402297027211E-2</v>
      </c>
      <c r="H230" s="13">
        <f t="shared" ca="1" si="117"/>
        <v>4.5699463273395462E-2</v>
      </c>
      <c r="I230" s="13">
        <f t="shared" ca="1" si="117"/>
        <v>4.5691689835189883E-2</v>
      </c>
      <c r="J230" s="13">
        <f t="shared" ca="1" si="117"/>
        <v>4.5703726078667406E-2</v>
      </c>
      <c r="K230" s="13">
        <f t="shared" ca="1" si="117"/>
        <v>4.5729190521540897E-2</v>
      </c>
      <c r="L230" s="13">
        <f t="shared" ca="1" si="117"/>
        <v>4.5783946631843216E-2</v>
      </c>
      <c r="M230" s="13">
        <f t="shared" ca="1" si="117"/>
        <v>4.5840717251080687E-2</v>
      </c>
      <c r="N230" s="13">
        <f t="shared" ca="1" si="117"/>
        <v>4.5895014707606999E-2</v>
      </c>
      <c r="O230" s="13">
        <f t="shared" ca="1" si="117"/>
        <v>4.5947283462254442E-2</v>
      </c>
      <c r="P230" s="13">
        <f t="shared" ca="1" si="117"/>
        <v>4.5999547647938378E-2</v>
      </c>
      <c r="Q230" s="13">
        <f t="shared" ca="1" si="117"/>
        <v>4.6056024519763969E-2</v>
      </c>
    </row>
    <row r="231" spans="1:17" x14ac:dyDescent="0.3">
      <c r="A231">
        <v>4</v>
      </c>
      <c r="B231" s="3" t="s">
        <v>400</v>
      </c>
      <c r="D231" s="13">
        <f t="shared" ref="D231:Q231" ca="1" si="118">D183*$E202*$C202*D214</f>
        <v>5.0396136519393959E-2</v>
      </c>
      <c r="E231" s="13">
        <f t="shared" ca="1" si="118"/>
        <v>4.5356522867454563E-2</v>
      </c>
      <c r="F231" s="13">
        <f t="shared" ca="1" si="118"/>
        <v>4.6272816258716279E-2</v>
      </c>
      <c r="G231" s="13">
        <f t="shared" ca="1" si="118"/>
        <v>4.3065789389300307E-2</v>
      </c>
      <c r="H231" s="13">
        <f t="shared" ca="1" si="118"/>
        <v>4.453115788084025E-2</v>
      </c>
      <c r="I231" s="13">
        <f t="shared" ca="1" si="118"/>
        <v>4.450881650699156E-2</v>
      </c>
      <c r="J231" s="13">
        <f t="shared" ca="1" si="118"/>
        <v>4.4501245596745842E-2</v>
      </c>
      <c r="K231" s="13">
        <f t="shared" ca="1" si="118"/>
        <v>4.4512968249792548E-2</v>
      </c>
      <c r="L231" s="13">
        <f t="shared" ca="1" si="118"/>
        <v>4.4537769245999628E-2</v>
      </c>
      <c r="M231" s="13">
        <f t="shared" ca="1" si="118"/>
        <v>4.4591098749050949E-2</v>
      </c>
      <c r="N231" s="13">
        <f t="shared" ca="1" si="118"/>
        <v>4.464639027533239E-2</v>
      </c>
      <c r="O231" s="13">
        <f t="shared" ca="1" si="118"/>
        <v>4.4699273074302444E-2</v>
      </c>
      <c r="P231" s="13">
        <f t="shared" ca="1" si="118"/>
        <v>4.4750180026879416E-2</v>
      </c>
      <c r="Q231" s="13">
        <f t="shared" ca="1" si="118"/>
        <v>4.4801082529531952E-2</v>
      </c>
    </row>
    <row r="232" spans="1:17" x14ac:dyDescent="0.3">
      <c r="A232">
        <v>5</v>
      </c>
      <c r="B232" s="3" t="s">
        <v>400</v>
      </c>
      <c r="D232" s="13">
        <f t="shared" ref="D232:Q232" ca="1" si="119">D184*$E203*$C203*D215</f>
        <v>4.8799912002616345E-2</v>
      </c>
      <c r="E232" s="13">
        <f t="shared" ca="1" si="119"/>
        <v>4.5109162355359646E-2</v>
      </c>
      <c r="F232" s="13">
        <f t="shared" ca="1" si="119"/>
        <v>4.0598246119823676E-2</v>
      </c>
      <c r="G232" s="13">
        <f t="shared" ca="1" si="119"/>
        <v>4.1418412708102953E-2</v>
      </c>
      <c r="H232" s="13">
        <f t="shared" ca="1" si="119"/>
        <v>3.854782964912553E-2</v>
      </c>
      <c r="I232" s="13">
        <f t="shared" ca="1" si="119"/>
        <v>3.9859468789754209E-2</v>
      </c>
      <c r="J232" s="13">
        <f t="shared" ca="1" si="119"/>
        <v>3.9839471211967778E-2</v>
      </c>
      <c r="K232" s="13">
        <f t="shared" ca="1" si="119"/>
        <v>3.9832694553218938E-2</v>
      </c>
      <c r="L232" s="13">
        <f t="shared" ca="1" si="119"/>
        <v>3.9843187402394308E-2</v>
      </c>
      <c r="M232" s="13">
        <f t="shared" ca="1" si="119"/>
        <v>3.9865386567682487E-2</v>
      </c>
      <c r="N232" s="13">
        <f t="shared" ca="1" si="119"/>
        <v>3.99131213620064E-2</v>
      </c>
      <c r="O232" s="13">
        <f t="shared" ca="1" si="119"/>
        <v>3.996261234699381E-2</v>
      </c>
      <c r="P232" s="13">
        <f t="shared" ca="1" si="119"/>
        <v>4.0009947300212456E-2</v>
      </c>
      <c r="Q232" s="13">
        <f t="shared" ca="1" si="119"/>
        <v>4.0055513689769479E-2</v>
      </c>
    </row>
    <row r="234" spans="1:17" x14ac:dyDescent="0.3">
      <c r="B234" s="3" t="s">
        <v>408</v>
      </c>
      <c r="D234" s="13">
        <f t="shared" ref="D234:Q234" ca="1" si="120">D179*$F$198*$G$198</f>
        <v>0</v>
      </c>
      <c r="E234" s="13">
        <f t="shared" ca="1" si="120"/>
        <v>0</v>
      </c>
      <c r="F234" s="13">
        <f t="shared" ca="1" si="120"/>
        <v>0</v>
      </c>
      <c r="G234" s="13">
        <f t="shared" ca="1" si="120"/>
        <v>0</v>
      </c>
      <c r="H234" s="13">
        <f t="shared" ca="1" si="120"/>
        <v>0</v>
      </c>
      <c r="I234" s="13">
        <f t="shared" ca="1" si="120"/>
        <v>0</v>
      </c>
      <c r="J234" s="13">
        <f t="shared" ca="1" si="120"/>
        <v>0</v>
      </c>
      <c r="K234" s="13">
        <f t="shared" ca="1" si="120"/>
        <v>0</v>
      </c>
      <c r="L234" s="13">
        <f t="shared" ca="1" si="120"/>
        <v>0</v>
      </c>
      <c r="M234" s="13">
        <f t="shared" ca="1" si="120"/>
        <v>0</v>
      </c>
      <c r="N234" s="13">
        <f t="shared" ca="1" si="120"/>
        <v>0</v>
      </c>
      <c r="O234" s="13">
        <f t="shared" ca="1" si="120"/>
        <v>0</v>
      </c>
      <c r="P234" s="13">
        <f t="shared" ca="1" si="120"/>
        <v>0</v>
      </c>
      <c r="Q234" s="13">
        <f t="shared" ca="1" si="120"/>
        <v>0</v>
      </c>
    </row>
    <row r="235" spans="1:17" x14ac:dyDescent="0.3">
      <c r="B235" s="3" t="s">
        <v>401</v>
      </c>
      <c r="C235" s="137">
        <f>$H$198</f>
        <v>0</v>
      </c>
      <c r="D235" s="13">
        <f t="shared" ref="D235:Q236" ca="1" si="121">SUM(D$220:D$234)*$C235</f>
        <v>0</v>
      </c>
      <c r="E235" s="13">
        <f t="shared" ca="1" si="121"/>
        <v>0</v>
      </c>
      <c r="F235" s="13">
        <f t="shared" ca="1" si="121"/>
        <v>0</v>
      </c>
      <c r="G235" s="13">
        <f t="shared" ca="1" si="121"/>
        <v>0</v>
      </c>
      <c r="H235" s="13">
        <f t="shared" ca="1" si="121"/>
        <v>0</v>
      </c>
      <c r="I235" s="13">
        <f t="shared" ca="1" si="121"/>
        <v>0</v>
      </c>
      <c r="J235" s="13">
        <f t="shared" ca="1" si="121"/>
        <v>0</v>
      </c>
      <c r="K235" s="13">
        <f t="shared" ca="1" si="121"/>
        <v>0</v>
      </c>
      <c r="L235" s="13">
        <f t="shared" ca="1" si="121"/>
        <v>0</v>
      </c>
      <c r="M235" s="13">
        <f t="shared" ca="1" si="121"/>
        <v>0</v>
      </c>
      <c r="N235" s="13">
        <f t="shared" ca="1" si="121"/>
        <v>0</v>
      </c>
      <c r="O235" s="13">
        <f t="shared" ca="1" si="121"/>
        <v>0</v>
      </c>
      <c r="P235" s="13">
        <f t="shared" ca="1" si="121"/>
        <v>0</v>
      </c>
      <c r="Q235" s="13">
        <f t="shared" ca="1" si="121"/>
        <v>0</v>
      </c>
    </row>
    <row r="236" spans="1:17" x14ac:dyDescent="0.3">
      <c r="B236" s="3" t="s">
        <v>402</v>
      </c>
      <c r="C236" s="137">
        <f>$I$198</f>
        <v>0</v>
      </c>
      <c r="D236" s="13">
        <f t="shared" ca="1" si="121"/>
        <v>0</v>
      </c>
      <c r="E236" s="13">
        <f t="shared" ca="1" si="121"/>
        <v>0</v>
      </c>
      <c r="F236" s="13">
        <f t="shared" ca="1" si="121"/>
        <v>0</v>
      </c>
      <c r="G236" s="13">
        <f t="shared" ca="1" si="121"/>
        <v>0</v>
      </c>
      <c r="H236" s="13">
        <f t="shared" ca="1" si="121"/>
        <v>0</v>
      </c>
      <c r="I236" s="13">
        <f t="shared" ca="1" si="121"/>
        <v>0</v>
      </c>
      <c r="J236" s="13">
        <f t="shared" ca="1" si="121"/>
        <v>0</v>
      </c>
      <c r="K236" s="13">
        <f t="shared" ca="1" si="121"/>
        <v>0</v>
      </c>
      <c r="L236" s="13">
        <f t="shared" ca="1" si="121"/>
        <v>0</v>
      </c>
      <c r="M236" s="13">
        <f t="shared" ca="1" si="121"/>
        <v>0</v>
      </c>
      <c r="N236" s="13">
        <f t="shared" ca="1" si="121"/>
        <v>0</v>
      </c>
      <c r="O236" s="13">
        <f t="shared" ca="1" si="121"/>
        <v>0</v>
      </c>
      <c r="P236" s="13">
        <f t="shared" ca="1" si="121"/>
        <v>0</v>
      </c>
      <c r="Q236" s="13">
        <f t="shared" ca="1" si="121"/>
        <v>0</v>
      </c>
    </row>
    <row r="238" spans="1:17" x14ac:dyDescent="0.3">
      <c r="B238" s="139" t="s">
        <v>409</v>
      </c>
      <c r="C238" s="44"/>
      <c r="D238" s="140">
        <f t="shared" ref="D238:Q238" ca="1" si="122">SUM(D$220:D$236)</f>
        <v>1.1072052738051026</v>
      </c>
      <c r="E238" s="140">
        <f t="shared" ca="1" si="122"/>
        <v>1.4360100119382886</v>
      </c>
      <c r="F238" s="140">
        <f t="shared" ca="1" si="122"/>
        <v>1.6361725784545718</v>
      </c>
      <c r="G238" s="140">
        <f t="shared" ca="1" si="122"/>
        <v>1.6331140772535548</v>
      </c>
      <c r="H238" s="140">
        <f t="shared" ca="1" si="122"/>
        <v>1.628814234123372</v>
      </c>
      <c r="I238" s="140">
        <f t="shared" ca="1" si="122"/>
        <v>1.6334328411326227</v>
      </c>
      <c r="J238" s="140">
        <f t="shared" ca="1" si="122"/>
        <v>1.6345259881975656</v>
      </c>
      <c r="K238" s="140">
        <f t="shared" ca="1" si="122"/>
        <v>1.6361144481402619</v>
      </c>
      <c r="L238" s="140">
        <f t="shared" ca="1" si="122"/>
        <v>1.6378751660143116</v>
      </c>
      <c r="M238" s="140">
        <f t="shared" ca="1" si="122"/>
        <v>1.639714753422856</v>
      </c>
      <c r="N238" s="140">
        <f t="shared" ca="1" si="122"/>
        <v>1.6416235284286687</v>
      </c>
      <c r="O238" s="140">
        <f t="shared" ca="1" si="122"/>
        <v>1.6435936949720751</v>
      </c>
      <c r="P238" s="140">
        <f t="shared" ca="1" si="122"/>
        <v>1.6456877737592672</v>
      </c>
      <c r="Q238" s="140">
        <f t="shared" ca="1" si="122"/>
        <v>1.6479128214881784</v>
      </c>
    </row>
    <row r="239" spans="1:17" x14ac:dyDescent="0.3">
      <c r="B239" t="s">
        <v>412</v>
      </c>
      <c r="D239" s="138">
        <f>IF('COUNCIL REPORT'!D$103="",1,'COUNCIL REPORT'!D$103/'COUNCIL REPORT'!D$99)</f>
        <v>1</v>
      </c>
      <c r="E239" s="138">
        <f>IF('COUNCIL REPORT'!E$103="",1,'COUNCIL REPORT'!E$103/'COUNCIL REPORT'!E$99)</f>
        <v>1</v>
      </c>
      <c r="F239" s="138">
        <f>IF('COUNCIL REPORT'!F$103="",1,'COUNCIL REPORT'!F$103/'COUNCIL REPORT'!F$99)</f>
        <v>1</v>
      </c>
      <c r="G239" s="138">
        <f>IF('COUNCIL REPORT'!G$103="",1,'COUNCIL REPORT'!G$103/'COUNCIL REPORT'!G$99)</f>
        <v>1</v>
      </c>
      <c r="H239" s="138">
        <f>IF('COUNCIL REPORT'!H$103="",1,'COUNCIL REPORT'!H$103/'COUNCIL REPORT'!H$99)</f>
        <v>1</v>
      </c>
      <c r="I239" s="138">
        <f>IF('COUNCIL REPORT'!I$103="",1,'COUNCIL REPORT'!I$103/'COUNCIL REPORT'!I$99)</f>
        <v>1</v>
      </c>
      <c r="J239" s="138">
        <f>IF('COUNCIL REPORT'!J$103="",1,'COUNCIL REPORT'!J$103/'COUNCIL REPORT'!J$99)</f>
        <v>1</v>
      </c>
      <c r="K239" s="138">
        <f>IF('COUNCIL REPORT'!K$103="",1,'COUNCIL REPORT'!K$103/'COUNCIL REPORT'!K$99)</f>
        <v>1</v>
      </c>
      <c r="L239" s="138">
        <f>IF('COUNCIL REPORT'!L$103="",1,'COUNCIL REPORT'!L$103/'COUNCIL REPORT'!L$99)</f>
        <v>1</v>
      </c>
      <c r="M239" s="138">
        <f>IF('COUNCIL REPORT'!M$103="",1,'COUNCIL REPORT'!M$103/'COUNCIL REPORT'!M$99)</f>
        <v>1</v>
      </c>
      <c r="N239" s="138">
        <f>IF('COUNCIL REPORT'!N$103="",1,'COUNCIL REPORT'!N$103/'COUNCIL REPORT'!N$99)</f>
        <v>1</v>
      </c>
      <c r="O239" s="138">
        <f>IF('COUNCIL REPORT'!O$103="",1,'COUNCIL REPORT'!O$103/'COUNCIL REPORT'!O$99)</f>
        <v>1</v>
      </c>
      <c r="P239" s="138">
        <f>IF('COUNCIL REPORT'!P$103="",1,'COUNCIL REPORT'!P$103/'COUNCIL REPORT'!P$99)</f>
        <v>1</v>
      </c>
      <c r="Q239" s="138">
        <f>IF('COUNCIL REPORT'!Q$103="",1,'COUNCIL REPORT'!Q$103/'COUNCIL REPORT'!Q$99)</f>
        <v>1</v>
      </c>
    </row>
    <row r="240" spans="1:17" x14ac:dyDescent="0.3">
      <c r="B240" s="30" t="s">
        <v>409</v>
      </c>
      <c r="C240" s="30"/>
      <c r="D240" s="141">
        <f t="shared" ref="D240:Q240" ca="1" si="123">D238*D239</f>
        <v>1.1072052738051026</v>
      </c>
      <c r="E240" s="141">
        <f t="shared" ca="1" si="123"/>
        <v>1.4360100119382886</v>
      </c>
      <c r="F240" s="141">
        <f t="shared" ca="1" si="123"/>
        <v>1.6361725784545718</v>
      </c>
      <c r="G240" s="141">
        <f t="shared" ca="1" si="123"/>
        <v>1.6331140772535548</v>
      </c>
      <c r="H240" s="141">
        <f t="shared" ca="1" si="123"/>
        <v>1.628814234123372</v>
      </c>
      <c r="I240" s="141">
        <f t="shared" ca="1" si="123"/>
        <v>1.6334328411326227</v>
      </c>
      <c r="J240" s="141">
        <f t="shared" ca="1" si="123"/>
        <v>1.6345259881975656</v>
      </c>
      <c r="K240" s="141">
        <f t="shared" ca="1" si="123"/>
        <v>1.6361144481402619</v>
      </c>
      <c r="L240" s="141">
        <f t="shared" ca="1" si="123"/>
        <v>1.6378751660143116</v>
      </c>
      <c r="M240" s="141">
        <f t="shared" ca="1" si="123"/>
        <v>1.639714753422856</v>
      </c>
      <c r="N240" s="141">
        <f t="shared" ca="1" si="123"/>
        <v>1.6416235284286687</v>
      </c>
      <c r="O240" s="141">
        <f t="shared" ca="1" si="123"/>
        <v>1.6435936949720751</v>
      </c>
      <c r="P240" s="141">
        <f t="shared" ca="1" si="123"/>
        <v>1.6456877737592672</v>
      </c>
      <c r="Q240" s="141">
        <f t="shared" ca="1" si="123"/>
        <v>1.6479128214881784</v>
      </c>
    </row>
    <row r="241" spans="2:17" x14ac:dyDescent="0.3">
      <c r="B241" s="3" t="s">
        <v>423</v>
      </c>
      <c r="D241" s="13">
        <f>INDEX(CONSOLIDATED!$H$88:$V$166,MATCH(council,CONSOLIDATED!$A$88:$A$166,0),MATCH(D$219,CONSOLIDATED!$H$2:$V$2,0))</f>
        <v>1.1072052738051026</v>
      </c>
      <c r="E241" s="13">
        <f>INDEX(CONSOLIDATED!$H$88:$V$166,MATCH(council,CONSOLIDATED!$A$88:$A$166,0),MATCH(E$219,CONSOLIDATED!$H$2:$V$2,0))</f>
        <v>1.4360100119382886</v>
      </c>
      <c r="F241" s="13">
        <f>INDEX(CONSOLIDATED!$H$88:$V$166,MATCH(council,CONSOLIDATED!$A$88:$A$166,0),MATCH(F$219,CONSOLIDATED!$H$2:$V$2,0))</f>
        <v>1.6361725784545715</v>
      </c>
      <c r="G241" s="13">
        <f>INDEX(CONSOLIDATED!$H$88:$V$166,MATCH(council,CONSOLIDATED!$A$88:$A$166,0),MATCH(G$219,CONSOLIDATED!$H$2:$V$2,0))</f>
        <v>1.6331140772535548</v>
      </c>
      <c r="H241" s="13">
        <f>INDEX(CONSOLIDATED!$H$88:$V$166,MATCH(council,CONSOLIDATED!$A$88:$A$166,0),MATCH(H$219,CONSOLIDATED!$H$2:$V$2,0))</f>
        <v>1.628814234123372</v>
      </c>
      <c r="I241" s="13">
        <f>INDEX(CONSOLIDATED!$H$88:$V$166,MATCH(council,CONSOLIDATED!$A$88:$A$166,0),MATCH(I$219,CONSOLIDATED!$H$2:$V$2,0))</f>
        <v>1.6334328411326227</v>
      </c>
      <c r="J241" s="13">
        <f>INDEX(CONSOLIDATED!$H$88:$V$166,MATCH(council,CONSOLIDATED!$A$88:$A$166,0),MATCH(J$219,CONSOLIDATED!$H$2:$V$2,0))</f>
        <v>1.6345259881975658</v>
      </c>
      <c r="K241" s="13">
        <f>INDEX(CONSOLIDATED!$H$88:$V$166,MATCH(council,CONSOLIDATED!$A$88:$A$166,0),MATCH(K$219,CONSOLIDATED!$H$2:$V$2,0))</f>
        <v>1.6361144481402619</v>
      </c>
      <c r="L241" s="13">
        <f>INDEX(CONSOLIDATED!$H$88:$V$166,MATCH(council,CONSOLIDATED!$A$88:$A$166,0),MATCH(L$219,CONSOLIDATED!$H$2:$V$2,0))</f>
        <v>1.6378751660143116</v>
      </c>
      <c r="M241" s="13">
        <f>INDEX(CONSOLIDATED!$H$88:$V$166,MATCH(council,CONSOLIDATED!$A$88:$A$166,0),MATCH(M$219,CONSOLIDATED!$H$2:$V$2,0))</f>
        <v>1.639714753422856</v>
      </c>
      <c r="N241" s="13">
        <f>INDEX(CONSOLIDATED!$H$88:$V$166,MATCH(council,CONSOLIDATED!$A$88:$A$166,0),MATCH(N$219,CONSOLIDATED!$H$2:$V$2,0))</f>
        <v>1.6416235284286687</v>
      </c>
      <c r="O241" s="13">
        <f>INDEX(CONSOLIDATED!$H$88:$V$166,MATCH(council,CONSOLIDATED!$A$88:$A$166,0),MATCH(O$219,CONSOLIDATED!$H$2:$V$2,0))</f>
        <v>1.6435936949720749</v>
      </c>
      <c r="P241" s="13">
        <f>INDEX(CONSOLIDATED!$H$88:$V$166,MATCH(council,CONSOLIDATED!$A$88:$A$166,0),MATCH(P$219,CONSOLIDATED!$H$2:$V$2,0))</f>
        <v>1.6456877737592672</v>
      </c>
      <c r="Q241" s="13">
        <f>INDEX(CONSOLIDATED!$H$88:$V$166,MATCH(council,CONSOLIDATED!$A$88:$A$166,0),MATCH(Q$219,CONSOLIDATED!$H$2:$V$2,0))</f>
        <v>1.6479128214881786</v>
      </c>
    </row>
    <row r="242" spans="2:17" x14ac:dyDescent="0.3">
      <c r="B242" s="135" t="s">
        <v>410</v>
      </c>
      <c r="D242" s="136">
        <f t="shared" ref="D242:Q242" ca="1" si="124">D240/D241-1</f>
        <v>0</v>
      </c>
      <c r="E242" s="136">
        <f t="shared" ca="1" si="124"/>
        <v>0</v>
      </c>
      <c r="F242" s="136">
        <f t="shared" ca="1" si="124"/>
        <v>0</v>
      </c>
      <c r="G242" s="136">
        <f t="shared" ca="1" si="124"/>
        <v>0</v>
      </c>
      <c r="H242" s="136">
        <f t="shared" ca="1" si="124"/>
        <v>0</v>
      </c>
      <c r="I242" s="136">
        <f t="shared" ca="1" si="124"/>
        <v>0</v>
      </c>
      <c r="J242" s="136">
        <f t="shared" ca="1" si="124"/>
        <v>0</v>
      </c>
      <c r="K242" s="136">
        <f t="shared" ca="1" si="124"/>
        <v>0</v>
      </c>
      <c r="L242" s="136">
        <f t="shared" ca="1" si="124"/>
        <v>0</v>
      </c>
      <c r="M242" s="136">
        <f t="shared" ca="1" si="124"/>
        <v>0</v>
      </c>
      <c r="N242" s="136">
        <f t="shared" ca="1" si="124"/>
        <v>0</v>
      </c>
      <c r="O242" s="136">
        <f t="shared" ca="1" si="124"/>
        <v>0</v>
      </c>
      <c r="P242" s="136">
        <f t="shared" ca="1" si="124"/>
        <v>0</v>
      </c>
      <c r="Q242" s="136">
        <f t="shared" ca="1" si="124"/>
        <v>0</v>
      </c>
    </row>
    <row r="244" spans="2:17" x14ac:dyDescent="0.3">
      <c r="B244" s="30" t="s">
        <v>254</v>
      </c>
      <c r="C244" s="30"/>
      <c r="D244" s="141">
        <f ca="1">CALCS!D168-D238</f>
        <v>9.2794726194897592E-2</v>
      </c>
      <c r="E244" s="141">
        <f ca="1">CALCS!E168-E238</f>
        <v>-0.23601001193828841</v>
      </c>
      <c r="F244" s="141">
        <f ca="1">CALCS!F168-F238</f>
        <v>-0.43617257845457158</v>
      </c>
      <c r="G244" s="141">
        <f ca="1">CALCS!G168-G238</f>
        <v>-0.43311407725355466</v>
      </c>
      <c r="H244" s="141">
        <f ca="1">CALCS!H168-H238</f>
        <v>-0.42881423412337183</v>
      </c>
      <c r="I244" s="141">
        <f ca="1">CALCS!I168-I238</f>
        <v>-0.43343284113262248</v>
      </c>
      <c r="J244" s="141">
        <f ca="1">CALCS!J168-J238</f>
        <v>-0.43452598819756538</v>
      </c>
      <c r="K244" s="141">
        <f ca="1">CALCS!K168-K238</f>
        <v>-0.43611444814026168</v>
      </c>
      <c r="L244" s="141">
        <f ca="1">CALCS!L168-L238</f>
        <v>-0.43787516601431142</v>
      </c>
      <c r="M244" s="141">
        <f ca="1">CALCS!M168-M238</f>
        <v>-0.43971475342285582</v>
      </c>
      <c r="N244" s="141">
        <f ca="1">CALCS!N168-N238</f>
        <v>-0.44162352842866848</v>
      </c>
      <c r="O244" s="141">
        <f ca="1">CALCS!O168-O238</f>
        <v>-0.4435936949720749</v>
      </c>
      <c r="P244" s="141">
        <f ca="1">CALCS!P168-P238</f>
        <v>-0.44568777375926705</v>
      </c>
      <c r="Q244" s="141">
        <f ca="1">CALCS!Q168-Q238</f>
        <v>-0.44791282148817824</v>
      </c>
    </row>
    <row r="245" spans="2:17" x14ac:dyDescent="0.3">
      <c r="B245" s="3" t="s">
        <v>411</v>
      </c>
      <c r="C245" s="3"/>
      <c r="D245" s="16">
        <f>CALCS!D165-D241</f>
        <v>9.2794726194897592E-2</v>
      </c>
      <c r="E245" s="16">
        <f>CALCS!E165-E241</f>
        <v>-0.23601001193828841</v>
      </c>
      <c r="F245" s="16">
        <f>CALCS!F165-F241</f>
        <v>-0.43617257845457136</v>
      </c>
      <c r="G245" s="16">
        <f>CALCS!G165-G241</f>
        <v>-0.43311407725355466</v>
      </c>
      <c r="H245" s="16">
        <f>CALCS!H165-H241</f>
        <v>-0.42881423412337183</v>
      </c>
      <c r="I245" s="16">
        <f>CALCS!I165-I241</f>
        <v>-0.43343284113262248</v>
      </c>
      <c r="J245" s="16">
        <f>CALCS!J165-J241</f>
        <v>-0.4345259881975656</v>
      </c>
      <c r="K245" s="16">
        <f>CALCS!K165-K241</f>
        <v>-0.43611444814026168</v>
      </c>
      <c r="L245" s="16">
        <f>CALCS!L165-L241</f>
        <v>-0.43787516601431142</v>
      </c>
      <c r="M245" s="16">
        <f>CALCS!M165-M241</f>
        <v>-0.43971475342285582</v>
      </c>
      <c r="N245" s="16">
        <f>CALCS!N165-N241</f>
        <v>-0.44162352842866848</v>
      </c>
      <c r="O245" s="16">
        <f>CALCS!O165-O241</f>
        <v>-0.44359369497207468</v>
      </c>
      <c r="P245" s="16">
        <f>CALCS!P165-P241</f>
        <v>-0.44568777375926705</v>
      </c>
      <c r="Q245" s="16">
        <f>CALCS!Q165-Q241</f>
        <v>-0.44791282148817846</v>
      </c>
    </row>
    <row r="246" spans="2:17" x14ac:dyDescent="0.3">
      <c r="B246" s="135" t="s">
        <v>410</v>
      </c>
      <c r="D246" s="136">
        <f t="shared" ref="D246:Q246" ca="1" si="125">D244/D245-1</f>
        <v>0</v>
      </c>
      <c r="E246" s="136">
        <f t="shared" ca="1" si="125"/>
        <v>0</v>
      </c>
      <c r="F246" s="136">
        <f t="shared" ca="1" si="125"/>
        <v>0</v>
      </c>
      <c r="G246" s="136">
        <f t="shared" ca="1" si="125"/>
        <v>0</v>
      </c>
      <c r="H246" s="136">
        <f t="shared" ca="1" si="125"/>
        <v>0</v>
      </c>
      <c r="I246" s="136">
        <f t="shared" ca="1" si="125"/>
        <v>0</v>
      </c>
      <c r="J246" s="136">
        <f t="shared" ca="1" si="125"/>
        <v>0</v>
      </c>
      <c r="K246" s="136">
        <f t="shared" ca="1" si="125"/>
        <v>0</v>
      </c>
      <c r="L246" s="136">
        <f t="shared" ca="1" si="125"/>
        <v>0</v>
      </c>
      <c r="M246" s="136">
        <f t="shared" ca="1" si="125"/>
        <v>0</v>
      </c>
      <c r="N246" s="136">
        <f t="shared" ca="1" si="125"/>
        <v>0</v>
      </c>
      <c r="O246" s="136">
        <f t="shared" ca="1" si="125"/>
        <v>0</v>
      </c>
      <c r="P246" s="136">
        <f t="shared" ca="1" si="125"/>
        <v>0</v>
      </c>
      <c r="Q246" s="136">
        <f t="shared" ca="1" si="125"/>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J80"/>
  <sheetViews>
    <sheetView showGridLines="0" workbookViewId="0">
      <selection activeCell="D10" sqref="D10"/>
    </sheetView>
  </sheetViews>
  <sheetFormatPr defaultRowHeight="14" x14ac:dyDescent="0.3"/>
  <cols>
    <col min="6" max="6" width="13.296875" bestFit="1" customWidth="1"/>
    <col min="7" max="7" width="10.8984375" bestFit="1" customWidth="1"/>
    <col min="8" max="12" width="10.8984375" customWidth="1"/>
    <col min="14" max="14" width="19.296875" bestFit="1" customWidth="1"/>
    <col min="18" max="18" width="20.296875" bestFit="1" customWidth="1"/>
    <col min="20" max="20" width="14.09765625" bestFit="1" customWidth="1"/>
    <col min="23" max="23" width="21.3984375" bestFit="1" customWidth="1"/>
    <col min="24" max="24" width="21.3984375" customWidth="1"/>
    <col min="28" max="28" width="16.69921875" bestFit="1" customWidth="1"/>
    <col min="35" max="35" width="20.296875" bestFit="1" customWidth="1"/>
  </cols>
  <sheetData>
    <row r="1" spans="2:36" x14ac:dyDescent="0.3">
      <c r="B1" s="12" t="s">
        <v>192</v>
      </c>
      <c r="C1" s="12" t="s">
        <v>192</v>
      </c>
      <c r="E1" s="12" t="s">
        <v>94</v>
      </c>
      <c r="F1" s="12" t="s">
        <v>199</v>
      </c>
      <c r="G1" s="12" t="s">
        <v>200</v>
      </c>
      <c r="I1" s="12" t="s">
        <v>199</v>
      </c>
      <c r="J1" s="12" t="s">
        <v>199</v>
      </c>
      <c r="K1" s="12" t="s">
        <v>251</v>
      </c>
      <c r="N1" s="12" t="s">
        <v>95</v>
      </c>
      <c r="O1" s="12" t="s">
        <v>105</v>
      </c>
      <c r="P1" s="12" t="s">
        <v>106</v>
      </c>
      <c r="R1" s="12" t="s">
        <v>194</v>
      </c>
      <c r="T1" s="12" t="s">
        <v>198</v>
      </c>
      <c r="V1" s="12" t="s">
        <v>0</v>
      </c>
      <c r="W1" s="12" t="s">
        <v>1</v>
      </c>
      <c r="X1" s="12" t="s">
        <v>234</v>
      </c>
      <c r="Y1" s="12" t="s">
        <v>223</v>
      </c>
      <c r="Z1" s="12" t="s">
        <v>225</v>
      </c>
      <c r="AB1" s="12" t="s">
        <v>199</v>
      </c>
      <c r="AC1" s="12" t="s">
        <v>199</v>
      </c>
      <c r="AD1" s="12" t="s">
        <v>199</v>
      </c>
    </row>
    <row r="2" spans="2:36" x14ac:dyDescent="0.3">
      <c r="B2" t="s">
        <v>354</v>
      </c>
      <c r="C2">
        <v>2009</v>
      </c>
      <c r="E2">
        <v>25</v>
      </c>
      <c r="F2" t="s">
        <v>89</v>
      </c>
      <c r="G2" t="s">
        <v>103</v>
      </c>
      <c r="I2" t="s">
        <v>232</v>
      </c>
      <c r="J2" t="s">
        <v>103</v>
      </c>
      <c r="K2">
        <v>20</v>
      </c>
      <c r="N2" s="2" t="s">
        <v>97</v>
      </c>
      <c r="O2" s="2">
        <v>0</v>
      </c>
      <c r="P2" t="s">
        <v>107</v>
      </c>
      <c r="R2" t="s">
        <v>84</v>
      </c>
      <c r="T2" t="s">
        <v>87</v>
      </c>
      <c r="V2" t="s">
        <v>3</v>
      </c>
      <c r="W2" t="s">
        <v>111</v>
      </c>
      <c r="X2" t="s">
        <v>4</v>
      </c>
      <c r="Y2" t="s">
        <v>221</v>
      </c>
      <c r="Z2" t="str">
        <f>IF(Y2="Interface","Metro","Rural")</f>
        <v>Rural</v>
      </c>
      <c r="AB2" t="s">
        <v>210</v>
      </c>
      <c r="AC2" t="s">
        <v>210</v>
      </c>
      <c r="AD2" t="s">
        <v>2</v>
      </c>
      <c r="AF2" t="s">
        <v>3</v>
      </c>
      <c r="AI2" t="s">
        <v>379</v>
      </c>
      <c r="AJ2">
        <v>1</v>
      </c>
    </row>
    <row r="3" spans="2:36" x14ac:dyDescent="0.3">
      <c r="B3" t="s">
        <v>355</v>
      </c>
      <c r="C3">
        <f>C2+1</f>
        <v>2010</v>
      </c>
      <c r="E3">
        <f>E2+1</f>
        <v>26</v>
      </c>
      <c r="F3" t="s">
        <v>89</v>
      </c>
      <c r="G3" t="s">
        <v>103</v>
      </c>
      <c r="I3" t="s">
        <v>231</v>
      </c>
      <c r="J3" t="s">
        <v>103</v>
      </c>
      <c r="K3">
        <v>20</v>
      </c>
      <c r="N3" s="2" t="s">
        <v>99</v>
      </c>
      <c r="O3" s="2">
        <v>1</v>
      </c>
      <c r="P3" t="s">
        <v>108</v>
      </c>
      <c r="R3" t="s">
        <v>85</v>
      </c>
      <c r="T3" t="s">
        <v>88</v>
      </c>
      <c r="V3" t="s">
        <v>56</v>
      </c>
      <c r="W3" t="s">
        <v>163</v>
      </c>
      <c r="X3" t="s">
        <v>57</v>
      </c>
      <c r="Y3" t="s">
        <v>221</v>
      </c>
      <c r="Z3" t="str">
        <f t="shared" ref="Z3:Z66" si="0">IF(Y3="Interface","Metro","Rural")</f>
        <v>Rural</v>
      </c>
      <c r="AB3" t="s">
        <v>204</v>
      </c>
      <c r="AC3" t="s">
        <v>211</v>
      </c>
      <c r="AD3">
        <v>0</v>
      </c>
      <c r="AF3" t="s">
        <v>23</v>
      </c>
      <c r="AI3" t="s">
        <v>326</v>
      </c>
      <c r="AJ3">
        <v>2</v>
      </c>
    </row>
    <row r="4" spans="2:36" x14ac:dyDescent="0.3">
      <c r="B4" t="s">
        <v>356</v>
      </c>
      <c r="C4">
        <f t="shared" ref="C4:C24" si="1">C3+1</f>
        <v>2011</v>
      </c>
      <c r="E4">
        <f>E3+1</f>
        <v>27</v>
      </c>
      <c r="F4" t="s">
        <v>89</v>
      </c>
      <c r="G4" t="s">
        <v>103</v>
      </c>
      <c r="I4" t="s">
        <v>229</v>
      </c>
      <c r="J4" t="s">
        <v>98</v>
      </c>
      <c r="K4">
        <v>30</v>
      </c>
      <c r="N4" s="2" t="s">
        <v>101</v>
      </c>
      <c r="O4" s="2">
        <v>0</v>
      </c>
      <c r="P4" t="s">
        <v>107</v>
      </c>
      <c r="R4" t="s">
        <v>86</v>
      </c>
      <c r="V4" t="s">
        <v>56</v>
      </c>
      <c r="W4" t="s">
        <v>164</v>
      </c>
      <c r="X4" t="s">
        <v>58</v>
      </c>
      <c r="Y4" t="s">
        <v>221</v>
      </c>
      <c r="Z4" t="str">
        <f t="shared" si="0"/>
        <v>Rural</v>
      </c>
      <c r="AB4" t="s">
        <v>205</v>
      </c>
      <c r="AC4" t="s">
        <v>212</v>
      </c>
      <c r="AD4">
        <v>1</v>
      </c>
      <c r="AF4" t="s">
        <v>41</v>
      </c>
      <c r="AI4" t="s">
        <v>339</v>
      </c>
      <c r="AJ4">
        <v>3</v>
      </c>
    </row>
    <row r="5" spans="2:36" x14ac:dyDescent="0.3">
      <c r="B5" t="s">
        <v>357</v>
      </c>
      <c r="C5">
        <f t="shared" si="1"/>
        <v>2012</v>
      </c>
      <c r="E5">
        <f t="shared" ref="E5:E41" si="2">E4+1</f>
        <v>28</v>
      </c>
      <c r="F5" t="s">
        <v>89</v>
      </c>
      <c r="G5" t="s">
        <v>103</v>
      </c>
      <c r="I5" t="s">
        <v>230</v>
      </c>
      <c r="J5" t="s">
        <v>100</v>
      </c>
      <c r="K5">
        <v>40</v>
      </c>
      <c r="N5" s="2" t="s">
        <v>102</v>
      </c>
      <c r="O5" s="2">
        <v>2</v>
      </c>
      <c r="P5" t="s">
        <v>108</v>
      </c>
      <c r="V5" t="s">
        <v>23</v>
      </c>
      <c r="W5" t="s">
        <v>130</v>
      </c>
      <c r="X5" t="s">
        <v>24</v>
      </c>
      <c r="Y5" t="s">
        <v>222</v>
      </c>
      <c r="Z5" t="str">
        <f t="shared" si="0"/>
        <v>Rural</v>
      </c>
      <c r="AB5" t="s">
        <v>206</v>
      </c>
      <c r="AC5" t="s">
        <v>213</v>
      </c>
      <c r="AD5">
        <v>2</v>
      </c>
      <c r="AF5" t="s">
        <v>56</v>
      </c>
    </row>
    <row r="6" spans="2:36" x14ac:dyDescent="0.3">
      <c r="B6" t="s">
        <v>358</v>
      </c>
      <c r="C6">
        <f t="shared" si="1"/>
        <v>2013</v>
      </c>
      <c r="E6">
        <f t="shared" si="2"/>
        <v>29</v>
      </c>
      <c r="F6" t="s">
        <v>89</v>
      </c>
      <c r="G6" t="s">
        <v>103</v>
      </c>
      <c r="I6" t="s">
        <v>233</v>
      </c>
      <c r="J6" t="s">
        <v>96</v>
      </c>
      <c r="K6">
        <v>50</v>
      </c>
      <c r="N6" s="2" t="s">
        <v>95</v>
      </c>
      <c r="O6" s="2">
        <v>0</v>
      </c>
      <c r="P6" t="s">
        <v>107</v>
      </c>
      <c r="V6" t="s">
        <v>41</v>
      </c>
      <c r="W6" t="s">
        <v>147</v>
      </c>
      <c r="X6" t="s">
        <v>42</v>
      </c>
      <c r="Y6" t="s">
        <v>221</v>
      </c>
      <c r="Z6" t="str">
        <f t="shared" si="0"/>
        <v>Rural</v>
      </c>
      <c r="AB6" t="s">
        <v>207</v>
      </c>
      <c r="AC6" t="s">
        <v>214</v>
      </c>
      <c r="AD6">
        <v>3</v>
      </c>
    </row>
    <row r="7" spans="2:36" x14ac:dyDescent="0.3">
      <c r="B7" t="s">
        <v>359</v>
      </c>
      <c r="C7">
        <f t="shared" si="1"/>
        <v>2014</v>
      </c>
      <c r="E7">
        <f t="shared" si="2"/>
        <v>30</v>
      </c>
      <c r="F7" t="s">
        <v>89</v>
      </c>
      <c r="G7" t="s">
        <v>98</v>
      </c>
      <c r="V7" t="s">
        <v>41</v>
      </c>
      <c r="W7" t="s">
        <v>148</v>
      </c>
      <c r="X7" t="s">
        <v>43</v>
      </c>
      <c r="Y7" t="s">
        <v>221</v>
      </c>
      <c r="Z7" t="str">
        <f t="shared" si="0"/>
        <v>Rural</v>
      </c>
      <c r="AB7" t="s">
        <v>208</v>
      </c>
      <c r="AC7" t="s">
        <v>215</v>
      </c>
      <c r="AD7">
        <v>4</v>
      </c>
    </row>
    <row r="8" spans="2:36" x14ac:dyDescent="0.3">
      <c r="B8" t="s">
        <v>193</v>
      </c>
      <c r="C8">
        <f t="shared" si="1"/>
        <v>2015</v>
      </c>
      <c r="E8">
        <f t="shared" si="2"/>
        <v>31</v>
      </c>
      <c r="F8" t="s">
        <v>89</v>
      </c>
      <c r="G8" t="s">
        <v>98</v>
      </c>
      <c r="V8" t="s">
        <v>41</v>
      </c>
      <c r="W8" t="s">
        <v>149</v>
      </c>
      <c r="X8" t="s">
        <v>44</v>
      </c>
      <c r="Y8" t="s">
        <v>222</v>
      </c>
      <c r="Z8" t="str">
        <f t="shared" si="0"/>
        <v>Rural</v>
      </c>
      <c r="AB8" t="s">
        <v>209</v>
      </c>
      <c r="AC8" t="s">
        <v>216</v>
      </c>
      <c r="AD8">
        <v>5</v>
      </c>
    </row>
    <row r="9" spans="2:36" x14ac:dyDescent="0.3">
      <c r="B9" t="s">
        <v>201</v>
      </c>
      <c r="C9">
        <f t="shared" si="1"/>
        <v>2016</v>
      </c>
      <c r="E9">
        <f t="shared" si="2"/>
        <v>32</v>
      </c>
      <c r="F9" t="s">
        <v>89</v>
      </c>
      <c r="G9" t="s">
        <v>98</v>
      </c>
      <c r="V9" t="s">
        <v>3</v>
      </c>
      <c r="W9" t="s">
        <v>112</v>
      </c>
      <c r="X9" t="s">
        <v>5</v>
      </c>
      <c r="Y9" t="s">
        <v>221</v>
      </c>
      <c r="Z9" t="str">
        <f t="shared" si="0"/>
        <v>Rural</v>
      </c>
    </row>
    <row r="10" spans="2:36" x14ac:dyDescent="0.3">
      <c r="B10" t="s">
        <v>202</v>
      </c>
      <c r="C10">
        <f t="shared" si="1"/>
        <v>2017</v>
      </c>
      <c r="E10">
        <f t="shared" si="2"/>
        <v>33</v>
      </c>
      <c r="F10" t="s">
        <v>89</v>
      </c>
      <c r="G10" t="s">
        <v>98</v>
      </c>
      <c r="V10" t="s">
        <v>3</v>
      </c>
      <c r="W10" t="s">
        <v>113</v>
      </c>
      <c r="X10" t="s">
        <v>6</v>
      </c>
      <c r="Y10" t="s">
        <v>222</v>
      </c>
      <c r="Z10" t="str">
        <f t="shared" si="0"/>
        <v>Rural</v>
      </c>
    </row>
    <row r="11" spans="2:36" x14ac:dyDescent="0.3">
      <c r="B11" t="s">
        <v>335</v>
      </c>
      <c r="C11">
        <f t="shared" si="1"/>
        <v>2018</v>
      </c>
      <c r="E11">
        <f t="shared" si="2"/>
        <v>34</v>
      </c>
      <c r="F11" t="s">
        <v>89</v>
      </c>
      <c r="G11" t="s">
        <v>98</v>
      </c>
      <c r="V11" t="s">
        <v>56</v>
      </c>
      <c r="W11" t="s">
        <v>165</v>
      </c>
      <c r="X11" t="s">
        <v>59</v>
      </c>
      <c r="Y11" t="s">
        <v>222</v>
      </c>
      <c r="Z11" t="str">
        <f t="shared" si="0"/>
        <v>Rural</v>
      </c>
    </row>
    <row r="12" spans="2:36" x14ac:dyDescent="0.3">
      <c r="B12" t="s">
        <v>336</v>
      </c>
      <c r="C12">
        <f t="shared" si="1"/>
        <v>2019</v>
      </c>
      <c r="E12">
        <f t="shared" si="2"/>
        <v>35</v>
      </c>
      <c r="F12" t="s">
        <v>89</v>
      </c>
      <c r="G12" t="s">
        <v>98</v>
      </c>
      <c r="V12" t="s">
        <v>23</v>
      </c>
      <c r="W12" t="s">
        <v>131</v>
      </c>
      <c r="X12" t="s">
        <v>25</v>
      </c>
      <c r="Y12" t="s">
        <v>221</v>
      </c>
      <c r="Z12" t="str">
        <f t="shared" si="0"/>
        <v>Rural</v>
      </c>
    </row>
    <row r="13" spans="2:36" x14ac:dyDescent="0.3">
      <c r="B13" t="s">
        <v>337</v>
      </c>
      <c r="C13">
        <f t="shared" si="1"/>
        <v>2020</v>
      </c>
      <c r="E13">
        <f t="shared" si="2"/>
        <v>36</v>
      </c>
      <c r="F13" t="s">
        <v>89</v>
      </c>
      <c r="G13" t="s">
        <v>98</v>
      </c>
      <c r="V13" t="s">
        <v>23</v>
      </c>
      <c r="W13" t="s">
        <v>132</v>
      </c>
      <c r="X13" t="s">
        <v>26</v>
      </c>
      <c r="Y13" t="s">
        <v>221</v>
      </c>
      <c r="Z13" t="str">
        <f t="shared" si="0"/>
        <v>Rural</v>
      </c>
    </row>
    <row r="14" spans="2:36" x14ac:dyDescent="0.3">
      <c r="B14" t="s">
        <v>360</v>
      </c>
      <c r="C14">
        <f t="shared" si="1"/>
        <v>2021</v>
      </c>
      <c r="E14">
        <f t="shared" si="2"/>
        <v>37</v>
      </c>
      <c r="F14" t="s">
        <v>89</v>
      </c>
      <c r="G14" t="s">
        <v>98</v>
      </c>
      <c r="V14" t="s">
        <v>41</v>
      </c>
      <c r="W14" t="s">
        <v>150</v>
      </c>
      <c r="X14" t="s">
        <v>45</v>
      </c>
      <c r="Y14" t="s">
        <v>224</v>
      </c>
      <c r="Z14" t="str">
        <f t="shared" si="0"/>
        <v>Metro</v>
      </c>
    </row>
    <row r="15" spans="2:36" x14ac:dyDescent="0.3">
      <c r="B15" t="s">
        <v>361</v>
      </c>
      <c r="C15">
        <f t="shared" si="1"/>
        <v>2022</v>
      </c>
      <c r="E15">
        <f t="shared" si="2"/>
        <v>38</v>
      </c>
      <c r="F15" t="s">
        <v>89</v>
      </c>
      <c r="G15" t="s">
        <v>98</v>
      </c>
      <c r="V15" t="s">
        <v>41</v>
      </c>
      <c r="W15" t="s">
        <v>151</v>
      </c>
      <c r="X15" t="s">
        <v>46</v>
      </c>
      <c r="Y15" t="s">
        <v>224</v>
      </c>
      <c r="Z15" t="str">
        <f t="shared" si="0"/>
        <v>Metro</v>
      </c>
    </row>
    <row r="16" spans="2:36" x14ac:dyDescent="0.3">
      <c r="B16" t="s">
        <v>362</v>
      </c>
      <c r="C16">
        <f t="shared" si="1"/>
        <v>2023</v>
      </c>
      <c r="E16">
        <f t="shared" si="2"/>
        <v>39</v>
      </c>
      <c r="F16" t="s">
        <v>89</v>
      </c>
      <c r="G16" t="s">
        <v>98</v>
      </c>
      <c r="V16" t="s">
        <v>23</v>
      </c>
      <c r="W16" t="s">
        <v>133</v>
      </c>
      <c r="X16" t="s">
        <v>27</v>
      </c>
      <c r="Y16" t="s">
        <v>221</v>
      </c>
      <c r="Z16" t="str">
        <f t="shared" si="0"/>
        <v>Rural</v>
      </c>
    </row>
    <row r="17" spans="2:26" x14ac:dyDescent="0.3">
      <c r="B17" t="s">
        <v>363</v>
      </c>
      <c r="C17">
        <f t="shared" si="1"/>
        <v>2024</v>
      </c>
      <c r="E17">
        <f t="shared" si="2"/>
        <v>40</v>
      </c>
      <c r="F17" t="s">
        <v>89</v>
      </c>
      <c r="G17" t="s">
        <v>100</v>
      </c>
      <c r="V17" t="s">
        <v>56</v>
      </c>
      <c r="W17" t="s">
        <v>166</v>
      </c>
      <c r="X17" t="s">
        <v>60</v>
      </c>
      <c r="Y17" t="s">
        <v>221</v>
      </c>
      <c r="Z17" t="str">
        <f t="shared" si="0"/>
        <v>Rural</v>
      </c>
    </row>
    <row r="18" spans="2:26" x14ac:dyDescent="0.3">
      <c r="B18" t="s">
        <v>364</v>
      </c>
      <c r="C18">
        <f t="shared" si="1"/>
        <v>2025</v>
      </c>
      <c r="E18">
        <f t="shared" si="2"/>
        <v>41</v>
      </c>
      <c r="F18" t="s">
        <v>89</v>
      </c>
      <c r="G18" t="s">
        <v>100</v>
      </c>
      <c r="V18" t="s">
        <v>56</v>
      </c>
      <c r="W18" t="s">
        <v>167</v>
      </c>
      <c r="X18" t="s">
        <v>61</v>
      </c>
      <c r="Y18" t="s">
        <v>221</v>
      </c>
      <c r="Z18" t="str">
        <f t="shared" si="0"/>
        <v>Rural</v>
      </c>
    </row>
    <row r="19" spans="2:26" x14ac:dyDescent="0.3">
      <c r="B19" t="s">
        <v>365</v>
      </c>
      <c r="C19">
        <f t="shared" si="1"/>
        <v>2026</v>
      </c>
      <c r="E19">
        <f t="shared" si="2"/>
        <v>42</v>
      </c>
      <c r="F19" t="s">
        <v>89</v>
      </c>
      <c r="G19" t="s">
        <v>100</v>
      </c>
      <c r="V19" t="s">
        <v>23</v>
      </c>
      <c r="W19" t="s">
        <v>134</v>
      </c>
      <c r="X19" t="s">
        <v>28</v>
      </c>
      <c r="Y19" t="s">
        <v>222</v>
      </c>
      <c r="Z19" t="str">
        <f t="shared" si="0"/>
        <v>Rural</v>
      </c>
    </row>
    <row r="20" spans="2:26" x14ac:dyDescent="0.3">
      <c r="B20" t="s">
        <v>366</v>
      </c>
      <c r="C20">
        <f t="shared" si="1"/>
        <v>2027</v>
      </c>
      <c r="E20">
        <f t="shared" si="2"/>
        <v>43</v>
      </c>
      <c r="F20" t="s">
        <v>89</v>
      </c>
      <c r="G20" t="s">
        <v>100</v>
      </c>
      <c r="V20" t="s">
        <v>41</v>
      </c>
      <c r="W20" t="s">
        <v>152</v>
      </c>
      <c r="X20" t="s">
        <v>217</v>
      </c>
      <c r="Y20" t="s">
        <v>221</v>
      </c>
      <c r="Z20" t="str">
        <f t="shared" si="0"/>
        <v>Rural</v>
      </c>
    </row>
    <row r="21" spans="2:26" x14ac:dyDescent="0.3">
      <c r="B21" t="s">
        <v>367</v>
      </c>
      <c r="C21">
        <f t="shared" si="1"/>
        <v>2028</v>
      </c>
      <c r="E21">
        <f t="shared" si="2"/>
        <v>44</v>
      </c>
      <c r="F21" t="s">
        <v>89</v>
      </c>
      <c r="G21" t="s">
        <v>100</v>
      </c>
      <c r="V21" t="s">
        <v>41</v>
      </c>
      <c r="W21" t="s">
        <v>153</v>
      </c>
      <c r="X21" t="s">
        <v>47</v>
      </c>
      <c r="Y21" t="s">
        <v>222</v>
      </c>
      <c r="Z21" t="str">
        <f t="shared" si="0"/>
        <v>Rural</v>
      </c>
    </row>
    <row r="22" spans="2:26" x14ac:dyDescent="0.3">
      <c r="B22" t="s">
        <v>368</v>
      </c>
      <c r="C22">
        <f t="shared" si="1"/>
        <v>2029</v>
      </c>
      <c r="E22">
        <f t="shared" si="2"/>
        <v>45</v>
      </c>
      <c r="F22" t="s">
        <v>90</v>
      </c>
      <c r="G22" t="s">
        <v>100</v>
      </c>
      <c r="V22" t="s">
        <v>23</v>
      </c>
      <c r="W22" t="s">
        <v>135</v>
      </c>
      <c r="X22" t="s">
        <v>29</v>
      </c>
      <c r="Y22" t="s">
        <v>221</v>
      </c>
      <c r="Z22" t="str">
        <f t="shared" si="0"/>
        <v>Rural</v>
      </c>
    </row>
    <row r="23" spans="2:26" x14ac:dyDescent="0.3">
      <c r="B23" t="s">
        <v>369</v>
      </c>
      <c r="C23">
        <f t="shared" si="1"/>
        <v>2030</v>
      </c>
      <c r="E23">
        <f t="shared" si="2"/>
        <v>46</v>
      </c>
      <c r="F23" t="s">
        <v>90</v>
      </c>
      <c r="G23" t="s">
        <v>100</v>
      </c>
      <c r="V23" t="s">
        <v>41</v>
      </c>
      <c r="W23" t="s">
        <v>154</v>
      </c>
      <c r="X23" t="s">
        <v>48</v>
      </c>
      <c r="Y23" t="s">
        <v>222</v>
      </c>
      <c r="Z23" t="str">
        <f t="shared" si="0"/>
        <v>Rural</v>
      </c>
    </row>
    <row r="24" spans="2:26" x14ac:dyDescent="0.3">
      <c r="B24" t="s">
        <v>338</v>
      </c>
      <c r="C24">
        <f t="shared" si="1"/>
        <v>2031</v>
      </c>
      <c r="E24">
        <f t="shared" si="2"/>
        <v>47</v>
      </c>
      <c r="F24" t="s">
        <v>90</v>
      </c>
      <c r="G24" t="s">
        <v>100</v>
      </c>
      <c r="V24" t="s">
        <v>56</v>
      </c>
      <c r="W24" t="s">
        <v>168</v>
      </c>
      <c r="X24" t="s">
        <v>62</v>
      </c>
      <c r="Y24" t="s">
        <v>221</v>
      </c>
      <c r="Z24" t="str">
        <f t="shared" si="0"/>
        <v>Rural</v>
      </c>
    </row>
    <row r="25" spans="2:26" x14ac:dyDescent="0.3">
      <c r="E25">
        <f t="shared" si="2"/>
        <v>48</v>
      </c>
      <c r="F25" t="s">
        <v>90</v>
      </c>
      <c r="G25" t="s">
        <v>100</v>
      </c>
      <c r="V25" t="s">
        <v>56</v>
      </c>
      <c r="W25" t="s">
        <v>169</v>
      </c>
      <c r="X25" t="s">
        <v>63</v>
      </c>
      <c r="Y25" t="s">
        <v>221</v>
      </c>
      <c r="Z25" t="str">
        <f t="shared" si="0"/>
        <v>Rural</v>
      </c>
    </row>
    <row r="26" spans="2:26" x14ac:dyDescent="0.3">
      <c r="E26">
        <f t="shared" si="2"/>
        <v>49</v>
      </c>
      <c r="F26" t="s">
        <v>90</v>
      </c>
      <c r="G26" t="s">
        <v>100</v>
      </c>
      <c r="V26" t="s">
        <v>23</v>
      </c>
      <c r="W26" t="s">
        <v>136</v>
      </c>
      <c r="X26" t="s">
        <v>30</v>
      </c>
      <c r="Y26" t="s">
        <v>221</v>
      </c>
      <c r="Z26" t="str">
        <f t="shared" si="0"/>
        <v>Rural</v>
      </c>
    </row>
    <row r="27" spans="2:26" x14ac:dyDescent="0.3">
      <c r="E27">
        <f t="shared" si="2"/>
        <v>50</v>
      </c>
      <c r="F27" t="s">
        <v>90</v>
      </c>
      <c r="G27" t="s">
        <v>96</v>
      </c>
      <c r="V27" t="s">
        <v>41</v>
      </c>
      <c r="W27" t="s">
        <v>155</v>
      </c>
      <c r="X27" t="s">
        <v>49</v>
      </c>
      <c r="Y27" t="s">
        <v>222</v>
      </c>
      <c r="Z27" t="str">
        <f t="shared" si="0"/>
        <v>Rural</v>
      </c>
    </row>
    <row r="28" spans="2:26" x14ac:dyDescent="0.3">
      <c r="E28">
        <f t="shared" si="2"/>
        <v>51</v>
      </c>
      <c r="F28" t="s">
        <v>91</v>
      </c>
      <c r="G28" t="s">
        <v>96</v>
      </c>
      <c r="V28" t="s">
        <v>56</v>
      </c>
      <c r="W28" t="s">
        <v>170</v>
      </c>
      <c r="X28" t="s">
        <v>64</v>
      </c>
      <c r="Y28" t="s">
        <v>221</v>
      </c>
      <c r="Z28" t="str">
        <f t="shared" si="0"/>
        <v>Rural</v>
      </c>
    </row>
    <row r="29" spans="2:26" x14ac:dyDescent="0.3">
      <c r="E29">
        <f t="shared" si="2"/>
        <v>52</v>
      </c>
      <c r="F29" t="s">
        <v>91</v>
      </c>
      <c r="G29" t="s">
        <v>96</v>
      </c>
      <c r="V29" t="s">
        <v>3</v>
      </c>
      <c r="W29" t="s">
        <v>114</v>
      </c>
      <c r="X29" t="s">
        <v>7</v>
      </c>
      <c r="Y29" t="s">
        <v>221</v>
      </c>
      <c r="Z29" t="str">
        <f t="shared" si="0"/>
        <v>Rural</v>
      </c>
    </row>
    <row r="30" spans="2:26" x14ac:dyDescent="0.3">
      <c r="E30">
        <f t="shared" si="2"/>
        <v>53</v>
      </c>
      <c r="F30" t="s">
        <v>91</v>
      </c>
      <c r="G30" t="s">
        <v>96</v>
      </c>
      <c r="V30" t="s">
        <v>56</v>
      </c>
      <c r="W30" t="s">
        <v>171</v>
      </c>
      <c r="X30" t="s">
        <v>65</v>
      </c>
      <c r="Y30" t="s">
        <v>221</v>
      </c>
      <c r="Z30" t="str">
        <f t="shared" si="0"/>
        <v>Rural</v>
      </c>
    </row>
    <row r="31" spans="2:26" x14ac:dyDescent="0.3">
      <c r="E31">
        <f t="shared" si="2"/>
        <v>54</v>
      </c>
      <c r="F31" t="s">
        <v>91</v>
      </c>
      <c r="G31" t="s">
        <v>96</v>
      </c>
      <c r="V31" t="s">
        <v>56</v>
      </c>
      <c r="W31" t="s">
        <v>172</v>
      </c>
      <c r="X31" t="s">
        <v>66</v>
      </c>
      <c r="Y31" t="s">
        <v>221</v>
      </c>
      <c r="Z31" t="str">
        <f t="shared" si="0"/>
        <v>Rural</v>
      </c>
    </row>
    <row r="32" spans="2:26" x14ac:dyDescent="0.3">
      <c r="E32">
        <f t="shared" si="2"/>
        <v>55</v>
      </c>
      <c r="F32" t="s">
        <v>91</v>
      </c>
      <c r="G32" t="s">
        <v>96</v>
      </c>
      <c r="V32" t="s">
        <v>56</v>
      </c>
      <c r="W32" t="s">
        <v>173</v>
      </c>
      <c r="X32" t="s">
        <v>67</v>
      </c>
      <c r="Y32" t="s">
        <v>222</v>
      </c>
      <c r="Z32" t="str">
        <f t="shared" si="0"/>
        <v>Rural</v>
      </c>
    </row>
    <row r="33" spans="5:26" x14ac:dyDescent="0.3">
      <c r="E33">
        <f t="shared" si="2"/>
        <v>56</v>
      </c>
      <c r="F33" t="s">
        <v>92</v>
      </c>
      <c r="G33" t="s">
        <v>96</v>
      </c>
      <c r="V33" t="s">
        <v>56</v>
      </c>
      <c r="W33" t="s">
        <v>174</v>
      </c>
      <c r="X33" t="s">
        <v>68</v>
      </c>
      <c r="Y33" t="s">
        <v>221</v>
      </c>
      <c r="Z33" t="str">
        <f t="shared" si="0"/>
        <v>Rural</v>
      </c>
    </row>
    <row r="34" spans="5:26" x14ac:dyDescent="0.3">
      <c r="E34">
        <f t="shared" si="2"/>
        <v>57</v>
      </c>
      <c r="F34" t="s">
        <v>92</v>
      </c>
      <c r="G34" t="s">
        <v>96</v>
      </c>
      <c r="V34" t="s">
        <v>23</v>
      </c>
      <c r="W34" t="s">
        <v>137</v>
      </c>
      <c r="X34" t="s">
        <v>31</v>
      </c>
      <c r="Y34" t="s">
        <v>224</v>
      </c>
      <c r="Z34" t="str">
        <f t="shared" si="0"/>
        <v>Metro</v>
      </c>
    </row>
    <row r="35" spans="5:26" x14ac:dyDescent="0.3">
      <c r="E35">
        <f t="shared" si="2"/>
        <v>58</v>
      </c>
      <c r="F35" t="s">
        <v>92</v>
      </c>
      <c r="G35" t="s">
        <v>96</v>
      </c>
      <c r="V35" t="s">
        <v>3</v>
      </c>
      <c r="W35" t="s">
        <v>115</v>
      </c>
      <c r="X35" t="s">
        <v>8</v>
      </c>
      <c r="Y35" t="s">
        <v>221</v>
      </c>
      <c r="Z35" t="str">
        <f t="shared" si="0"/>
        <v>Rural</v>
      </c>
    </row>
    <row r="36" spans="5:26" x14ac:dyDescent="0.3">
      <c r="E36">
        <f t="shared" si="2"/>
        <v>59</v>
      </c>
      <c r="F36" t="s">
        <v>92</v>
      </c>
      <c r="G36" t="s">
        <v>96</v>
      </c>
      <c r="V36" t="s">
        <v>41</v>
      </c>
      <c r="W36" t="s">
        <v>156</v>
      </c>
      <c r="X36" t="s">
        <v>50</v>
      </c>
      <c r="Y36" t="s">
        <v>222</v>
      </c>
      <c r="Z36" t="str">
        <f t="shared" si="0"/>
        <v>Rural</v>
      </c>
    </row>
    <row r="37" spans="5:26" x14ac:dyDescent="0.3">
      <c r="E37">
        <f t="shared" si="2"/>
        <v>60</v>
      </c>
      <c r="F37" t="s">
        <v>92</v>
      </c>
      <c r="G37" t="s">
        <v>104</v>
      </c>
      <c r="V37" t="s">
        <v>3</v>
      </c>
      <c r="W37" t="s">
        <v>116</v>
      </c>
      <c r="X37" t="s">
        <v>9</v>
      </c>
      <c r="Y37" t="s">
        <v>222</v>
      </c>
      <c r="Z37" t="str">
        <f t="shared" si="0"/>
        <v>Rural</v>
      </c>
    </row>
    <row r="38" spans="5:26" x14ac:dyDescent="0.3">
      <c r="E38">
        <f t="shared" si="2"/>
        <v>61</v>
      </c>
      <c r="F38" t="s">
        <v>93</v>
      </c>
      <c r="G38" t="s">
        <v>104</v>
      </c>
      <c r="V38" t="s">
        <v>41</v>
      </c>
      <c r="W38" t="s">
        <v>157</v>
      </c>
      <c r="X38" t="s">
        <v>51</v>
      </c>
      <c r="Y38" t="s">
        <v>221</v>
      </c>
      <c r="Z38" t="str">
        <f t="shared" si="0"/>
        <v>Rural</v>
      </c>
    </row>
    <row r="39" spans="5:26" x14ac:dyDescent="0.3">
      <c r="E39">
        <f t="shared" si="2"/>
        <v>62</v>
      </c>
      <c r="F39" t="s">
        <v>93</v>
      </c>
      <c r="G39" t="s">
        <v>104</v>
      </c>
      <c r="V39" t="s">
        <v>23</v>
      </c>
      <c r="W39" t="s">
        <v>138</v>
      </c>
      <c r="X39" t="s">
        <v>32</v>
      </c>
      <c r="Y39" t="s">
        <v>221</v>
      </c>
      <c r="Z39" t="str">
        <f t="shared" si="0"/>
        <v>Rural</v>
      </c>
    </row>
    <row r="40" spans="5:26" x14ac:dyDescent="0.3">
      <c r="E40">
        <f t="shared" si="2"/>
        <v>63</v>
      </c>
      <c r="F40" t="s">
        <v>93</v>
      </c>
      <c r="G40" t="s">
        <v>104</v>
      </c>
      <c r="V40" t="s">
        <v>23</v>
      </c>
      <c r="W40" t="s">
        <v>139</v>
      </c>
      <c r="X40" t="s">
        <v>33</v>
      </c>
      <c r="Y40" t="s">
        <v>221</v>
      </c>
      <c r="Z40" t="str">
        <f t="shared" si="0"/>
        <v>Rural</v>
      </c>
    </row>
    <row r="41" spans="5:26" x14ac:dyDescent="0.3">
      <c r="E41">
        <f t="shared" si="2"/>
        <v>64</v>
      </c>
      <c r="F41" t="s">
        <v>93</v>
      </c>
      <c r="G41" t="s">
        <v>104</v>
      </c>
      <c r="V41" t="s">
        <v>3</v>
      </c>
      <c r="W41" t="s">
        <v>117</v>
      </c>
      <c r="X41" t="s">
        <v>10</v>
      </c>
      <c r="Y41" t="s">
        <v>222</v>
      </c>
      <c r="Z41" t="str">
        <f t="shared" si="0"/>
        <v>Rural</v>
      </c>
    </row>
    <row r="42" spans="5:26" x14ac:dyDescent="0.3">
      <c r="V42" t="s">
        <v>3</v>
      </c>
      <c r="W42" t="s">
        <v>118</v>
      </c>
      <c r="X42" t="s">
        <v>11</v>
      </c>
      <c r="Y42" t="s">
        <v>221</v>
      </c>
      <c r="Z42" t="str">
        <f t="shared" si="0"/>
        <v>Rural</v>
      </c>
    </row>
    <row r="43" spans="5:26" x14ac:dyDescent="0.3">
      <c r="V43" t="s">
        <v>56</v>
      </c>
      <c r="W43" t="s">
        <v>175</v>
      </c>
      <c r="X43" t="s">
        <v>69</v>
      </c>
      <c r="Y43" t="s">
        <v>222</v>
      </c>
      <c r="Z43" t="str">
        <f t="shared" si="0"/>
        <v>Rural</v>
      </c>
    </row>
    <row r="44" spans="5:26" x14ac:dyDescent="0.3">
      <c r="V44" t="s">
        <v>3</v>
      </c>
      <c r="W44" t="s">
        <v>119</v>
      </c>
      <c r="X44" t="s">
        <v>12</v>
      </c>
      <c r="Y44" t="s">
        <v>222</v>
      </c>
      <c r="Z44" t="str">
        <f t="shared" si="0"/>
        <v>Rural</v>
      </c>
    </row>
    <row r="45" spans="5:26" x14ac:dyDescent="0.3">
      <c r="V45" t="s">
        <v>56</v>
      </c>
      <c r="W45" t="s">
        <v>176</v>
      </c>
      <c r="X45" t="s">
        <v>70</v>
      </c>
      <c r="Y45" t="s">
        <v>222</v>
      </c>
      <c r="Z45" t="str">
        <f t="shared" si="0"/>
        <v>Rural</v>
      </c>
    </row>
    <row r="46" spans="5:26" x14ac:dyDescent="0.3">
      <c r="V46" t="s">
        <v>56</v>
      </c>
      <c r="W46" t="s">
        <v>177</v>
      </c>
      <c r="X46" t="s">
        <v>71</v>
      </c>
      <c r="Y46" t="s">
        <v>224</v>
      </c>
      <c r="Z46" t="str">
        <f t="shared" si="0"/>
        <v>Metro</v>
      </c>
    </row>
    <row r="47" spans="5:26" x14ac:dyDescent="0.3">
      <c r="V47" t="s">
        <v>23</v>
      </c>
      <c r="W47" t="s">
        <v>140</v>
      </c>
      <c r="X47" t="s">
        <v>34</v>
      </c>
      <c r="Y47" t="s">
        <v>221</v>
      </c>
      <c r="Z47" t="str">
        <f t="shared" si="0"/>
        <v>Rural</v>
      </c>
    </row>
    <row r="48" spans="5:26" x14ac:dyDescent="0.3">
      <c r="V48" t="s">
        <v>3</v>
      </c>
      <c r="W48" t="s">
        <v>120</v>
      </c>
      <c r="X48" t="s">
        <v>13</v>
      </c>
      <c r="Y48" t="s">
        <v>224</v>
      </c>
      <c r="Z48" t="str">
        <f t="shared" si="0"/>
        <v>Metro</v>
      </c>
    </row>
    <row r="49" spans="22:26" x14ac:dyDescent="0.3">
      <c r="V49" t="s">
        <v>3</v>
      </c>
      <c r="W49" t="s">
        <v>121</v>
      </c>
      <c r="X49" t="s">
        <v>14</v>
      </c>
      <c r="Y49" t="s">
        <v>221</v>
      </c>
      <c r="Z49" t="str">
        <f t="shared" si="0"/>
        <v>Rural</v>
      </c>
    </row>
    <row r="50" spans="22:26" x14ac:dyDescent="0.3">
      <c r="V50" t="s">
        <v>3</v>
      </c>
      <c r="W50" t="s">
        <v>122</v>
      </c>
      <c r="X50" t="s">
        <v>15</v>
      </c>
      <c r="Y50" t="s">
        <v>222</v>
      </c>
      <c r="Z50" t="str">
        <f t="shared" si="0"/>
        <v>Rural</v>
      </c>
    </row>
    <row r="51" spans="22:26" x14ac:dyDescent="0.3">
      <c r="V51" t="s">
        <v>56</v>
      </c>
      <c r="W51" t="s">
        <v>178</v>
      </c>
      <c r="X51" t="s">
        <v>72</v>
      </c>
      <c r="Y51" t="s">
        <v>222</v>
      </c>
      <c r="Z51" t="str">
        <f t="shared" si="0"/>
        <v>Rural</v>
      </c>
    </row>
    <row r="52" spans="22:26" x14ac:dyDescent="0.3">
      <c r="V52" t="s">
        <v>56</v>
      </c>
      <c r="W52" t="s">
        <v>179</v>
      </c>
      <c r="X52" t="s">
        <v>73</v>
      </c>
      <c r="Y52" t="s">
        <v>221</v>
      </c>
      <c r="Z52" t="str">
        <f t="shared" si="0"/>
        <v>Rural</v>
      </c>
    </row>
    <row r="53" spans="22:26" x14ac:dyDescent="0.3">
      <c r="V53" t="s">
        <v>23</v>
      </c>
      <c r="W53" t="s">
        <v>141</v>
      </c>
      <c r="X53" t="s">
        <v>35</v>
      </c>
      <c r="Y53" t="s">
        <v>222</v>
      </c>
      <c r="Z53" t="str">
        <f t="shared" si="0"/>
        <v>Rural</v>
      </c>
    </row>
    <row r="54" spans="22:26" x14ac:dyDescent="0.3">
      <c r="V54" t="s">
        <v>41</v>
      </c>
      <c r="W54" t="s">
        <v>158</v>
      </c>
      <c r="X54" t="s">
        <v>52</v>
      </c>
      <c r="Y54" t="s">
        <v>224</v>
      </c>
      <c r="Z54" t="str">
        <f t="shared" si="0"/>
        <v>Metro</v>
      </c>
    </row>
    <row r="55" spans="22:26" x14ac:dyDescent="0.3">
      <c r="V55" t="s">
        <v>23</v>
      </c>
      <c r="W55" t="s">
        <v>142</v>
      </c>
      <c r="X55" t="s">
        <v>36</v>
      </c>
      <c r="Y55" t="s">
        <v>221</v>
      </c>
      <c r="Z55" t="str">
        <f t="shared" si="0"/>
        <v>Rural</v>
      </c>
    </row>
    <row r="56" spans="22:26" x14ac:dyDescent="0.3">
      <c r="V56" t="s">
        <v>56</v>
      </c>
      <c r="W56" t="s">
        <v>180</v>
      </c>
      <c r="X56" t="s">
        <v>74</v>
      </c>
      <c r="Y56" t="s">
        <v>221</v>
      </c>
      <c r="Z56" t="str">
        <f t="shared" si="0"/>
        <v>Rural</v>
      </c>
    </row>
    <row r="57" spans="22:26" x14ac:dyDescent="0.3">
      <c r="V57" t="s">
        <v>3</v>
      </c>
      <c r="W57" t="s">
        <v>123</v>
      </c>
      <c r="X57" t="s">
        <v>16</v>
      </c>
      <c r="Y57" t="s">
        <v>221</v>
      </c>
      <c r="Z57" t="str">
        <f t="shared" si="0"/>
        <v>Rural</v>
      </c>
    </row>
    <row r="58" spans="22:26" x14ac:dyDescent="0.3">
      <c r="V58" t="s">
        <v>23</v>
      </c>
      <c r="W58" t="s">
        <v>143</v>
      </c>
      <c r="X58" t="s">
        <v>37</v>
      </c>
      <c r="Y58" t="s">
        <v>224</v>
      </c>
      <c r="Z58" t="str">
        <f t="shared" si="0"/>
        <v>Metro</v>
      </c>
    </row>
    <row r="59" spans="22:26" x14ac:dyDescent="0.3">
      <c r="V59" t="s">
        <v>56</v>
      </c>
      <c r="W59" t="s">
        <v>181</v>
      </c>
      <c r="X59" t="s">
        <v>75</v>
      </c>
      <c r="Y59" t="s">
        <v>221</v>
      </c>
      <c r="Z59" t="str">
        <f t="shared" si="0"/>
        <v>Rural</v>
      </c>
    </row>
    <row r="60" spans="22:26" x14ac:dyDescent="0.3">
      <c r="V60" t="s">
        <v>41</v>
      </c>
      <c r="W60" t="s">
        <v>159</v>
      </c>
      <c r="X60" t="s">
        <v>53</v>
      </c>
      <c r="Y60" t="s">
        <v>222</v>
      </c>
      <c r="Z60" t="str">
        <f t="shared" si="0"/>
        <v>Rural</v>
      </c>
    </row>
    <row r="61" spans="22:26" x14ac:dyDescent="0.3">
      <c r="V61" t="s">
        <v>56</v>
      </c>
      <c r="W61" t="s">
        <v>182</v>
      </c>
      <c r="X61" t="s">
        <v>76</v>
      </c>
      <c r="Y61" t="s">
        <v>221</v>
      </c>
      <c r="Z61" t="str">
        <f t="shared" si="0"/>
        <v>Rural</v>
      </c>
    </row>
    <row r="62" spans="22:26" x14ac:dyDescent="0.3">
      <c r="V62" t="s">
        <v>56</v>
      </c>
      <c r="W62" t="s">
        <v>183</v>
      </c>
      <c r="X62" t="s">
        <v>77</v>
      </c>
      <c r="Y62" t="s">
        <v>221</v>
      </c>
      <c r="Z62" t="str">
        <f t="shared" si="0"/>
        <v>Rural</v>
      </c>
    </row>
    <row r="63" spans="22:26" x14ac:dyDescent="0.3">
      <c r="V63" t="s">
        <v>41</v>
      </c>
      <c r="W63" t="s">
        <v>160</v>
      </c>
      <c r="X63" t="s">
        <v>54</v>
      </c>
      <c r="Y63" t="s">
        <v>221</v>
      </c>
      <c r="Z63" t="str">
        <f t="shared" si="0"/>
        <v>Rural</v>
      </c>
    </row>
    <row r="64" spans="22:26" x14ac:dyDescent="0.3">
      <c r="V64" t="s">
        <v>56</v>
      </c>
      <c r="W64" t="s">
        <v>184</v>
      </c>
      <c r="X64" t="s">
        <v>78</v>
      </c>
      <c r="Y64" t="s">
        <v>221</v>
      </c>
      <c r="Z64" t="str">
        <f t="shared" si="0"/>
        <v>Rural</v>
      </c>
    </row>
    <row r="65" spans="22:26" x14ac:dyDescent="0.3">
      <c r="V65" t="s">
        <v>41</v>
      </c>
      <c r="W65" t="s">
        <v>161</v>
      </c>
      <c r="X65" t="s">
        <v>55</v>
      </c>
      <c r="Y65" t="s">
        <v>222</v>
      </c>
      <c r="Z65" t="str">
        <f t="shared" si="0"/>
        <v>Rural</v>
      </c>
    </row>
    <row r="66" spans="22:26" x14ac:dyDescent="0.3">
      <c r="V66" t="s">
        <v>3</v>
      </c>
      <c r="W66" t="s">
        <v>124</v>
      </c>
      <c r="X66" t="s">
        <v>17</v>
      </c>
      <c r="Y66" t="s">
        <v>221</v>
      </c>
      <c r="Z66" t="str">
        <f t="shared" si="0"/>
        <v>Rural</v>
      </c>
    </row>
    <row r="67" spans="22:26" x14ac:dyDescent="0.3">
      <c r="V67" t="s">
        <v>56</v>
      </c>
      <c r="W67" t="s">
        <v>185</v>
      </c>
      <c r="X67" t="s">
        <v>79</v>
      </c>
      <c r="Y67" t="s">
        <v>221</v>
      </c>
      <c r="Z67" t="str">
        <f t="shared" ref="Z67:Z80" si="3">IF(Y67="Interface","Metro","Rural")</f>
        <v>Rural</v>
      </c>
    </row>
    <row r="68" spans="22:26" x14ac:dyDescent="0.3">
      <c r="V68" t="s">
        <v>23</v>
      </c>
      <c r="W68" t="s">
        <v>144</v>
      </c>
      <c r="X68" t="s">
        <v>38</v>
      </c>
      <c r="Y68" t="s">
        <v>221</v>
      </c>
      <c r="Z68" t="str">
        <f t="shared" si="3"/>
        <v>Rural</v>
      </c>
    </row>
    <row r="69" spans="22:26" x14ac:dyDescent="0.3">
      <c r="V69" t="s">
        <v>3</v>
      </c>
      <c r="W69" t="s">
        <v>125</v>
      </c>
      <c r="X69" t="s">
        <v>18</v>
      </c>
      <c r="Y69" t="s">
        <v>221</v>
      </c>
      <c r="Z69" t="str">
        <f t="shared" si="3"/>
        <v>Rural</v>
      </c>
    </row>
    <row r="70" spans="22:26" x14ac:dyDescent="0.3">
      <c r="V70" t="s">
        <v>3</v>
      </c>
      <c r="W70" t="s">
        <v>126</v>
      </c>
      <c r="X70" t="s">
        <v>19</v>
      </c>
      <c r="Y70" t="s">
        <v>221</v>
      </c>
      <c r="Z70" t="str">
        <f t="shared" si="3"/>
        <v>Rural</v>
      </c>
    </row>
    <row r="71" spans="22:26" x14ac:dyDescent="0.3">
      <c r="V71" t="s">
        <v>56</v>
      </c>
      <c r="W71" t="s">
        <v>186</v>
      </c>
      <c r="X71" t="s">
        <v>80</v>
      </c>
      <c r="Y71" t="s">
        <v>221</v>
      </c>
      <c r="Z71" t="str">
        <f t="shared" si="3"/>
        <v>Rural</v>
      </c>
    </row>
    <row r="72" spans="22:26" x14ac:dyDescent="0.3">
      <c r="V72" t="s">
        <v>41</v>
      </c>
      <c r="W72" t="s">
        <v>162</v>
      </c>
      <c r="X72" t="s">
        <v>218</v>
      </c>
      <c r="Y72" t="s">
        <v>221</v>
      </c>
      <c r="Z72" t="str">
        <f t="shared" si="3"/>
        <v>Rural</v>
      </c>
    </row>
    <row r="73" spans="22:26" x14ac:dyDescent="0.3">
      <c r="V73" t="s">
        <v>56</v>
      </c>
      <c r="W73" t="s">
        <v>187</v>
      </c>
      <c r="X73" t="s">
        <v>81</v>
      </c>
      <c r="Y73" t="s">
        <v>221</v>
      </c>
      <c r="Z73" t="str">
        <f t="shared" si="3"/>
        <v>Rural</v>
      </c>
    </row>
    <row r="74" spans="22:26" x14ac:dyDescent="0.3">
      <c r="V74" t="s">
        <v>3</v>
      </c>
      <c r="W74" t="s">
        <v>127</v>
      </c>
      <c r="X74" t="s">
        <v>20</v>
      </c>
      <c r="Y74" t="s">
        <v>222</v>
      </c>
      <c r="Z74" t="str">
        <f t="shared" si="3"/>
        <v>Rural</v>
      </c>
    </row>
    <row r="75" spans="22:26" x14ac:dyDescent="0.3">
      <c r="V75" t="s">
        <v>23</v>
      </c>
      <c r="W75" t="s">
        <v>145</v>
      </c>
      <c r="X75" t="s">
        <v>39</v>
      </c>
      <c r="Y75" t="s">
        <v>224</v>
      </c>
      <c r="Z75" t="str">
        <f t="shared" si="3"/>
        <v>Metro</v>
      </c>
    </row>
    <row r="76" spans="22:26" x14ac:dyDescent="0.3">
      <c r="V76" t="s">
        <v>3</v>
      </c>
      <c r="W76" t="s">
        <v>128</v>
      </c>
      <c r="X76" t="s">
        <v>21</v>
      </c>
      <c r="Y76" t="s">
        <v>221</v>
      </c>
      <c r="Z76" t="str">
        <f t="shared" si="3"/>
        <v>Rural</v>
      </c>
    </row>
    <row r="77" spans="22:26" x14ac:dyDescent="0.3">
      <c r="V77" t="s">
        <v>56</v>
      </c>
      <c r="W77" t="s">
        <v>188</v>
      </c>
      <c r="X77" t="s">
        <v>82</v>
      </c>
      <c r="Y77" t="s">
        <v>224</v>
      </c>
      <c r="Z77" t="str">
        <f t="shared" si="3"/>
        <v>Metro</v>
      </c>
    </row>
    <row r="78" spans="22:26" x14ac:dyDescent="0.3">
      <c r="V78" t="s">
        <v>23</v>
      </c>
      <c r="W78" t="s">
        <v>146</v>
      </c>
      <c r="X78" t="s">
        <v>40</v>
      </c>
      <c r="Y78" t="s">
        <v>222</v>
      </c>
      <c r="Z78" t="str">
        <f t="shared" si="3"/>
        <v>Rural</v>
      </c>
    </row>
    <row r="79" spans="22:26" x14ac:dyDescent="0.3">
      <c r="V79" t="s">
        <v>3</v>
      </c>
      <c r="W79" t="s">
        <v>129</v>
      </c>
      <c r="X79" t="s">
        <v>22</v>
      </c>
      <c r="Y79" t="s">
        <v>224</v>
      </c>
      <c r="Z79" t="str">
        <f t="shared" si="3"/>
        <v>Metro</v>
      </c>
    </row>
    <row r="80" spans="22:26" x14ac:dyDescent="0.3">
      <c r="V80" t="s">
        <v>56</v>
      </c>
      <c r="W80" t="s">
        <v>189</v>
      </c>
      <c r="X80" t="s">
        <v>83</v>
      </c>
      <c r="Y80" t="s">
        <v>221</v>
      </c>
      <c r="Z80" t="str">
        <f t="shared" si="3"/>
        <v>Rural</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82"/>
  <sheetViews>
    <sheetView showGridLines="0" zoomScale="82" workbookViewId="0">
      <pane ySplit="3" topLeftCell="A4" activePane="bottomLeft" state="frozen"/>
      <selection activeCell="D10" sqref="D10"/>
      <selection pane="bottomLeft" activeCell="D10" sqref="D10"/>
    </sheetView>
  </sheetViews>
  <sheetFormatPr defaultColWidth="8.8984375" defaultRowHeight="14" x14ac:dyDescent="0.3"/>
  <cols>
    <col min="1" max="1" width="23.59765625" bestFit="1" customWidth="1"/>
    <col min="2" max="2" width="21.3984375" bestFit="1" customWidth="1"/>
    <col min="3" max="3" width="14.296875" bestFit="1" customWidth="1"/>
  </cols>
  <sheetData>
    <row r="1" spans="1:82" x14ac:dyDescent="0.3">
      <c r="D1">
        <v>1</v>
      </c>
      <c r="E1">
        <v>2</v>
      </c>
      <c r="F1">
        <v>3</v>
      </c>
      <c r="G1">
        <v>4</v>
      </c>
      <c r="H1">
        <v>5</v>
      </c>
      <c r="I1">
        <v>6</v>
      </c>
      <c r="J1">
        <v>7</v>
      </c>
      <c r="K1">
        <v>8</v>
      </c>
      <c r="L1">
        <v>9</v>
      </c>
      <c r="M1">
        <v>10</v>
      </c>
      <c r="N1">
        <v>11</v>
      </c>
      <c r="O1">
        <v>12</v>
      </c>
      <c r="P1">
        <v>13</v>
      </c>
      <c r="Q1">
        <v>14</v>
      </c>
      <c r="R1">
        <v>15</v>
      </c>
      <c r="S1">
        <v>16</v>
      </c>
      <c r="T1">
        <v>17</v>
      </c>
      <c r="U1">
        <v>18</v>
      </c>
      <c r="V1">
        <v>19</v>
      </c>
      <c r="W1">
        <v>20</v>
      </c>
      <c r="X1">
        <v>21</v>
      </c>
      <c r="Y1">
        <v>22</v>
      </c>
      <c r="Z1">
        <v>23</v>
      </c>
      <c r="AA1">
        <v>24</v>
      </c>
      <c r="AB1">
        <v>25</v>
      </c>
      <c r="AC1">
        <v>26</v>
      </c>
      <c r="AD1">
        <v>27</v>
      </c>
      <c r="AE1">
        <v>28</v>
      </c>
      <c r="AF1">
        <v>29</v>
      </c>
      <c r="AG1">
        <v>30</v>
      </c>
      <c r="AH1">
        <v>31</v>
      </c>
      <c r="AI1">
        <v>32</v>
      </c>
      <c r="AJ1">
        <v>33</v>
      </c>
      <c r="AK1">
        <v>34</v>
      </c>
      <c r="AL1">
        <v>35</v>
      </c>
      <c r="AM1">
        <v>36</v>
      </c>
      <c r="AN1">
        <v>37</v>
      </c>
      <c r="AO1">
        <v>38</v>
      </c>
      <c r="AP1">
        <v>39</v>
      </c>
      <c r="AQ1">
        <v>40</v>
      </c>
      <c r="AR1">
        <v>41</v>
      </c>
      <c r="AS1">
        <v>42</v>
      </c>
      <c r="AT1">
        <v>43</v>
      </c>
      <c r="AU1">
        <v>44</v>
      </c>
      <c r="AV1">
        <v>45</v>
      </c>
      <c r="AW1">
        <v>46</v>
      </c>
      <c r="AX1">
        <v>47</v>
      </c>
      <c r="AY1">
        <v>48</v>
      </c>
      <c r="AZ1">
        <v>49</v>
      </c>
      <c r="BA1">
        <v>50</v>
      </c>
      <c r="BB1">
        <v>51</v>
      </c>
      <c r="BC1">
        <v>52</v>
      </c>
      <c r="BD1">
        <v>53</v>
      </c>
      <c r="BE1">
        <v>54</v>
      </c>
      <c r="BF1">
        <v>55</v>
      </c>
      <c r="BG1">
        <v>56</v>
      </c>
      <c r="BH1">
        <v>57</v>
      </c>
      <c r="BI1">
        <v>58</v>
      </c>
      <c r="BJ1">
        <v>59</v>
      </c>
      <c r="BK1">
        <v>60</v>
      </c>
      <c r="BL1">
        <v>61</v>
      </c>
      <c r="BM1">
        <v>62</v>
      </c>
      <c r="BN1">
        <v>63</v>
      </c>
      <c r="BO1">
        <v>64</v>
      </c>
      <c r="BP1">
        <v>65</v>
      </c>
      <c r="BQ1">
        <v>66</v>
      </c>
      <c r="BR1">
        <v>67</v>
      </c>
      <c r="BS1">
        <v>68</v>
      </c>
      <c r="BT1">
        <v>69</v>
      </c>
      <c r="BU1">
        <v>70</v>
      </c>
      <c r="BV1">
        <v>71</v>
      </c>
      <c r="BW1">
        <v>72</v>
      </c>
      <c r="BX1">
        <v>73</v>
      </c>
      <c r="BY1">
        <v>74</v>
      </c>
      <c r="BZ1">
        <v>75</v>
      </c>
      <c r="CA1">
        <v>76</v>
      </c>
      <c r="CB1">
        <v>77</v>
      </c>
      <c r="CC1">
        <v>78</v>
      </c>
      <c r="CD1">
        <v>79</v>
      </c>
    </row>
    <row r="2" spans="1:82" x14ac:dyDescent="0.3">
      <c r="A2" s="35" t="s">
        <v>246</v>
      </c>
      <c r="B2" s="35" t="s">
        <v>247</v>
      </c>
      <c r="C2" s="35" t="s">
        <v>248</v>
      </c>
      <c r="D2" s="35" t="s">
        <v>111</v>
      </c>
      <c r="E2" s="35" t="s">
        <v>163</v>
      </c>
      <c r="F2" s="35" t="s">
        <v>164</v>
      </c>
      <c r="G2" s="35" t="s">
        <v>130</v>
      </c>
      <c r="H2" s="35" t="s">
        <v>147</v>
      </c>
      <c r="I2" s="35" t="s">
        <v>148</v>
      </c>
      <c r="J2" s="35" t="s">
        <v>149</v>
      </c>
      <c r="K2" s="35" t="s">
        <v>112</v>
      </c>
      <c r="L2" s="35" t="s">
        <v>113</v>
      </c>
      <c r="M2" s="35" t="s">
        <v>165</v>
      </c>
      <c r="N2" s="35" t="s">
        <v>131</v>
      </c>
      <c r="O2" s="35" t="s">
        <v>132</v>
      </c>
      <c r="P2" s="35" t="s">
        <v>150</v>
      </c>
      <c r="Q2" s="35" t="s">
        <v>151</v>
      </c>
      <c r="R2" s="35" t="s">
        <v>133</v>
      </c>
      <c r="S2" s="35" t="s">
        <v>166</v>
      </c>
      <c r="T2" s="35" t="s">
        <v>167</v>
      </c>
      <c r="U2" s="35" t="s">
        <v>134</v>
      </c>
      <c r="V2" s="35" t="s">
        <v>152</v>
      </c>
      <c r="W2" s="35" t="s">
        <v>153</v>
      </c>
      <c r="X2" s="35" t="s">
        <v>135</v>
      </c>
      <c r="Y2" s="35" t="s">
        <v>154</v>
      </c>
      <c r="Z2" s="35" t="s">
        <v>168</v>
      </c>
      <c r="AA2" s="35" t="s">
        <v>169</v>
      </c>
      <c r="AB2" s="35" t="s">
        <v>136</v>
      </c>
      <c r="AC2" s="35" t="s">
        <v>155</v>
      </c>
      <c r="AD2" s="35" t="s">
        <v>170</v>
      </c>
      <c r="AE2" s="35" t="s">
        <v>114</v>
      </c>
      <c r="AF2" s="35" t="s">
        <v>171</v>
      </c>
      <c r="AG2" s="35" t="s">
        <v>172</v>
      </c>
      <c r="AH2" s="35" t="s">
        <v>173</v>
      </c>
      <c r="AI2" s="35" t="s">
        <v>174</v>
      </c>
      <c r="AJ2" s="35" t="s">
        <v>137</v>
      </c>
      <c r="AK2" s="35" t="s">
        <v>115</v>
      </c>
      <c r="AL2" s="35" t="s">
        <v>226</v>
      </c>
      <c r="AM2" s="35" t="s">
        <v>116</v>
      </c>
      <c r="AN2" s="35" t="s">
        <v>227</v>
      </c>
      <c r="AO2" s="35" t="s">
        <v>138</v>
      </c>
      <c r="AP2" s="35" t="s">
        <v>139</v>
      </c>
      <c r="AQ2" s="35" t="s">
        <v>117</v>
      </c>
      <c r="AR2" s="35" t="s">
        <v>118</v>
      </c>
      <c r="AS2" s="35" t="s">
        <v>175</v>
      </c>
      <c r="AT2" s="35" t="s">
        <v>119</v>
      </c>
      <c r="AU2" s="35" t="s">
        <v>176</v>
      </c>
      <c r="AV2" s="35" t="s">
        <v>177</v>
      </c>
      <c r="AW2" s="35" t="s">
        <v>140</v>
      </c>
      <c r="AX2" s="35" t="s">
        <v>120</v>
      </c>
      <c r="AY2" s="35" t="s">
        <v>121</v>
      </c>
      <c r="AZ2" s="35" t="s">
        <v>122</v>
      </c>
      <c r="BA2" s="35" t="s">
        <v>178</v>
      </c>
      <c r="BB2" s="35" t="s">
        <v>179</v>
      </c>
      <c r="BC2" s="35" t="s">
        <v>141</v>
      </c>
      <c r="BD2" s="35" t="s">
        <v>158</v>
      </c>
      <c r="BE2" s="35" t="s">
        <v>142</v>
      </c>
      <c r="BF2" s="35" t="s">
        <v>180</v>
      </c>
      <c r="BG2" s="35" t="s">
        <v>123</v>
      </c>
      <c r="BH2" s="35" t="s">
        <v>143</v>
      </c>
      <c r="BI2" s="35" t="s">
        <v>181</v>
      </c>
      <c r="BJ2" s="35" t="s">
        <v>159</v>
      </c>
      <c r="BK2" s="35" t="s">
        <v>182</v>
      </c>
      <c r="BL2" s="35" t="s">
        <v>183</v>
      </c>
      <c r="BM2" s="35" t="s">
        <v>160</v>
      </c>
      <c r="BN2" s="35" t="s">
        <v>184</v>
      </c>
      <c r="BO2" s="35" t="s">
        <v>161</v>
      </c>
      <c r="BP2" s="35" t="s">
        <v>124</v>
      </c>
      <c r="BQ2" s="35" t="s">
        <v>185</v>
      </c>
      <c r="BR2" s="35" t="s">
        <v>144</v>
      </c>
      <c r="BS2" s="35" t="s">
        <v>125</v>
      </c>
      <c r="BT2" s="35" t="s">
        <v>126</v>
      </c>
      <c r="BU2" s="35" t="s">
        <v>186</v>
      </c>
      <c r="BV2" s="35" t="s">
        <v>162</v>
      </c>
      <c r="BW2" s="35" t="s">
        <v>187</v>
      </c>
      <c r="BX2" s="35" t="s">
        <v>127</v>
      </c>
      <c r="BY2" s="35" t="s">
        <v>145</v>
      </c>
      <c r="BZ2" s="35" t="s">
        <v>228</v>
      </c>
      <c r="CA2" s="35" t="s">
        <v>188</v>
      </c>
      <c r="CB2" s="35" t="s">
        <v>146</v>
      </c>
      <c r="CC2" s="35" t="s">
        <v>129</v>
      </c>
      <c r="CD2" s="35" t="s">
        <v>189</v>
      </c>
    </row>
    <row r="3" spans="1:82" x14ac:dyDescent="0.3">
      <c r="A3" s="35"/>
      <c r="B3" s="35"/>
      <c r="C3" s="35"/>
      <c r="D3" s="35" t="s">
        <v>111</v>
      </c>
      <c r="E3" s="35" t="s">
        <v>163</v>
      </c>
      <c r="F3" s="35" t="s">
        <v>164</v>
      </c>
      <c r="G3" s="35" t="s">
        <v>130</v>
      </c>
      <c r="H3" s="35" t="s">
        <v>147</v>
      </c>
      <c r="I3" s="35" t="s">
        <v>148</v>
      </c>
      <c r="J3" s="35" t="s">
        <v>149</v>
      </c>
      <c r="K3" s="35" t="s">
        <v>112</v>
      </c>
      <c r="L3" s="35" t="s">
        <v>113</v>
      </c>
      <c r="M3" s="35" t="s">
        <v>165</v>
      </c>
      <c r="N3" s="35" t="s">
        <v>131</v>
      </c>
      <c r="O3" s="35" t="s">
        <v>132</v>
      </c>
      <c r="P3" s="35" t="s">
        <v>150</v>
      </c>
      <c r="Q3" s="35" t="s">
        <v>151</v>
      </c>
      <c r="R3" s="35" t="s">
        <v>133</v>
      </c>
      <c r="S3" s="35" t="s">
        <v>166</v>
      </c>
      <c r="T3" s="35" t="s">
        <v>167</v>
      </c>
      <c r="U3" s="35" t="s">
        <v>134</v>
      </c>
      <c r="V3" s="35" t="s">
        <v>152</v>
      </c>
      <c r="W3" s="35" t="s">
        <v>153</v>
      </c>
      <c r="X3" s="35" t="s">
        <v>135</v>
      </c>
      <c r="Y3" s="35" t="s">
        <v>154</v>
      </c>
      <c r="Z3" s="35" t="s">
        <v>168</v>
      </c>
      <c r="AA3" s="35" t="s">
        <v>169</v>
      </c>
      <c r="AB3" s="35" t="s">
        <v>136</v>
      </c>
      <c r="AC3" s="35" t="s">
        <v>155</v>
      </c>
      <c r="AD3" s="35" t="s">
        <v>170</v>
      </c>
      <c r="AE3" s="35" t="s">
        <v>114</v>
      </c>
      <c r="AF3" s="35" t="s">
        <v>171</v>
      </c>
      <c r="AG3" s="35" t="s">
        <v>172</v>
      </c>
      <c r="AH3" s="35" t="s">
        <v>173</v>
      </c>
      <c r="AI3" s="35" t="s">
        <v>174</v>
      </c>
      <c r="AJ3" s="35" t="s">
        <v>137</v>
      </c>
      <c r="AK3" s="35" t="s">
        <v>115</v>
      </c>
      <c r="AL3" s="35" t="s">
        <v>156</v>
      </c>
      <c r="AM3" s="35" t="s">
        <v>116</v>
      </c>
      <c r="AN3" s="35" t="s">
        <v>157</v>
      </c>
      <c r="AO3" s="35" t="s">
        <v>138</v>
      </c>
      <c r="AP3" s="35" t="s">
        <v>139</v>
      </c>
      <c r="AQ3" s="35" t="s">
        <v>117</v>
      </c>
      <c r="AR3" s="35" t="s">
        <v>118</v>
      </c>
      <c r="AS3" s="35" t="s">
        <v>175</v>
      </c>
      <c r="AT3" s="35" t="s">
        <v>119</v>
      </c>
      <c r="AU3" s="35" t="s">
        <v>176</v>
      </c>
      <c r="AV3" s="35" t="s">
        <v>177</v>
      </c>
      <c r="AW3" s="35" t="s">
        <v>140</v>
      </c>
      <c r="AX3" s="35" t="s">
        <v>120</v>
      </c>
      <c r="AY3" s="35" t="s">
        <v>121</v>
      </c>
      <c r="AZ3" s="35" t="s">
        <v>122</v>
      </c>
      <c r="BA3" s="35" t="s">
        <v>178</v>
      </c>
      <c r="BB3" s="35" t="s">
        <v>179</v>
      </c>
      <c r="BC3" s="35" t="s">
        <v>141</v>
      </c>
      <c r="BD3" s="35" t="s">
        <v>158</v>
      </c>
      <c r="BE3" s="35" t="s">
        <v>142</v>
      </c>
      <c r="BF3" s="35" t="s">
        <v>180</v>
      </c>
      <c r="BG3" s="35" t="s">
        <v>123</v>
      </c>
      <c r="BH3" s="35" t="s">
        <v>143</v>
      </c>
      <c r="BI3" s="35" t="s">
        <v>181</v>
      </c>
      <c r="BJ3" s="35" t="s">
        <v>159</v>
      </c>
      <c r="BK3" s="35" t="s">
        <v>182</v>
      </c>
      <c r="BL3" s="35" t="s">
        <v>183</v>
      </c>
      <c r="BM3" s="35" t="s">
        <v>160</v>
      </c>
      <c r="BN3" s="35" t="s">
        <v>184</v>
      </c>
      <c r="BO3" s="35" t="s">
        <v>161</v>
      </c>
      <c r="BP3" s="35" t="s">
        <v>124</v>
      </c>
      <c r="BQ3" s="35" t="s">
        <v>185</v>
      </c>
      <c r="BR3" s="35" t="s">
        <v>144</v>
      </c>
      <c r="BS3" s="35" t="s">
        <v>125</v>
      </c>
      <c r="BT3" s="35" t="s">
        <v>126</v>
      </c>
      <c r="BU3" s="35" t="s">
        <v>186</v>
      </c>
      <c r="BV3" s="35" t="s">
        <v>162</v>
      </c>
      <c r="BW3" s="35" t="s">
        <v>187</v>
      </c>
      <c r="BX3" s="35" t="s">
        <v>127</v>
      </c>
      <c r="BY3" s="35" t="s">
        <v>145</v>
      </c>
      <c r="BZ3" s="35" t="s">
        <v>128</v>
      </c>
      <c r="CA3" s="35" t="s">
        <v>188</v>
      </c>
      <c r="CB3" s="35" t="s">
        <v>146</v>
      </c>
      <c r="CC3" s="35" t="s">
        <v>129</v>
      </c>
      <c r="CD3" s="35" t="s">
        <v>189</v>
      </c>
    </row>
    <row r="4" spans="1:82" x14ac:dyDescent="0.3">
      <c r="A4" s="35" t="s">
        <v>111</v>
      </c>
      <c r="B4" s="35" t="s">
        <v>111</v>
      </c>
      <c r="C4" s="35">
        <f t="shared" ref="C4:C35" si="0">COUNTIFS($D4:$CD4,"TRUE")-1</f>
        <v>4</v>
      </c>
      <c r="D4" s="35"/>
      <c r="E4" s="35" t="b">
        <v>0</v>
      </c>
      <c r="F4" s="35" t="b">
        <v>0</v>
      </c>
      <c r="G4" s="35" t="b">
        <v>0</v>
      </c>
      <c r="H4" s="35" t="b">
        <v>0</v>
      </c>
      <c r="I4" s="35" t="b">
        <v>0</v>
      </c>
      <c r="J4" s="35" t="b">
        <v>0</v>
      </c>
      <c r="K4" s="35" t="b">
        <v>0</v>
      </c>
      <c r="L4" s="35" t="b">
        <v>0</v>
      </c>
      <c r="M4" s="35" t="b">
        <v>0</v>
      </c>
      <c r="N4" s="35" t="b">
        <v>0</v>
      </c>
      <c r="O4" s="35" t="b">
        <v>0</v>
      </c>
      <c r="P4" s="35" t="b">
        <v>0</v>
      </c>
      <c r="Q4" s="35" t="b">
        <v>0</v>
      </c>
      <c r="R4" s="35" t="b">
        <v>0</v>
      </c>
      <c r="S4" s="35" t="b">
        <v>0</v>
      </c>
      <c r="T4" s="35" t="b">
        <v>0</v>
      </c>
      <c r="U4" s="35" t="b">
        <v>0</v>
      </c>
      <c r="V4" s="35" t="b">
        <v>1</v>
      </c>
      <c r="W4" s="35" t="b">
        <v>0</v>
      </c>
      <c r="X4" s="35" t="b">
        <v>0</v>
      </c>
      <c r="Y4" s="35" t="b">
        <v>0</v>
      </c>
      <c r="Z4" s="35" t="b">
        <v>0</v>
      </c>
      <c r="AA4" s="35" t="b">
        <v>0</v>
      </c>
      <c r="AB4" s="35" t="b">
        <v>0</v>
      </c>
      <c r="AC4" s="35" t="b">
        <v>0</v>
      </c>
      <c r="AD4" s="35" t="b">
        <v>0</v>
      </c>
      <c r="AE4" s="35" t="b">
        <v>0</v>
      </c>
      <c r="AF4" s="35" t="b">
        <v>0</v>
      </c>
      <c r="AG4" s="35" t="b">
        <v>0</v>
      </c>
      <c r="AH4" s="35" t="b">
        <v>0</v>
      </c>
      <c r="AI4" s="35" t="b">
        <v>0</v>
      </c>
      <c r="AJ4" s="35" t="b">
        <v>0</v>
      </c>
      <c r="AK4" s="35" t="b">
        <v>1</v>
      </c>
      <c r="AL4" s="35" t="b">
        <v>0</v>
      </c>
      <c r="AM4" s="35" t="b">
        <v>0</v>
      </c>
      <c r="AN4" s="35" t="b">
        <v>0</v>
      </c>
      <c r="AO4" s="35" t="b">
        <v>0</v>
      </c>
      <c r="AP4" s="35" t="b">
        <v>0</v>
      </c>
      <c r="AQ4" s="35" t="b">
        <v>0</v>
      </c>
      <c r="AR4" s="35" t="b">
        <v>0</v>
      </c>
      <c r="AS4" s="35" t="b">
        <v>0</v>
      </c>
      <c r="AT4" s="35" t="b">
        <v>0</v>
      </c>
      <c r="AU4" s="35" t="b">
        <v>0</v>
      </c>
      <c r="AV4" s="35" t="b">
        <v>0</v>
      </c>
      <c r="AW4" s="35" t="b">
        <v>0</v>
      </c>
      <c r="AX4" s="35" t="b">
        <v>0</v>
      </c>
      <c r="AY4" s="35" t="b">
        <v>0</v>
      </c>
      <c r="AZ4" s="35" t="b">
        <v>0</v>
      </c>
      <c r="BA4" s="35" t="b">
        <v>0</v>
      </c>
      <c r="BB4" s="35" t="b">
        <v>0</v>
      </c>
      <c r="BC4" s="35" t="b">
        <v>0</v>
      </c>
      <c r="BD4" s="35" t="b">
        <v>0</v>
      </c>
      <c r="BE4" s="35" t="b">
        <v>0</v>
      </c>
      <c r="BF4" s="35" t="b">
        <v>0</v>
      </c>
      <c r="BG4" s="35" t="b">
        <v>0</v>
      </c>
      <c r="BH4" s="35" t="b">
        <v>0</v>
      </c>
      <c r="BI4" s="35" t="b">
        <v>0</v>
      </c>
      <c r="BJ4" s="35" t="b">
        <v>0</v>
      </c>
      <c r="BK4" s="35" t="b">
        <v>0</v>
      </c>
      <c r="BL4" s="35" t="b">
        <v>0</v>
      </c>
      <c r="BM4" s="35" t="b">
        <v>0</v>
      </c>
      <c r="BN4" s="35" t="b">
        <v>0</v>
      </c>
      <c r="BO4" s="35" t="b">
        <v>0</v>
      </c>
      <c r="BP4" s="35" t="b">
        <v>0</v>
      </c>
      <c r="BQ4" s="35" t="b">
        <v>0</v>
      </c>
      <c r="BR4" s="35" t="b">
        <v>0</v>
      </c>
      <c r="BS4" s="35" t="b">
        <v>1</v>
      </c>
      <c r="BT4" s="35" t="b">
        <v>1</v>
      </c>
      <c r="BU4" s="35" t="b">
        <v>0</v>
      </c>
      <c r="BV4" s="35" t="b">
        <v>1</v>
      </c>
      <c r="BW4" s="35" t="b">
        <v>0</v>
      </c>
      <c r="BX4" s="35" t="b">
        <v>0</v>
      </c>
      <c r="BY4" s="35" t="b">
        <v>0</v>
      </c>
      <c r="BZ4" s="35" t="b">
        <v>0</v>
      </c>
      <c r="CA4" s="35" t="b">
        <v>0</v>
      </c>
      <c r="CB4" s="35" t="b">
        <v>0</v>
      </c>
      <c r="CC4" s="35" t="b">
        <v>0</v>
      </c>
      <c r="CD4" s="35" t="b">
        <v>0</v>
      </c>
    </row>
    <row r="5" spans="1:82" x14ac:dyDescent="0.3">
      <c r="A5" s="35" t="s">
        <v>163</v>
      </c>
      <c r="B5" s="35" t="s">
        <v>163</v>
      </c>
      <c r="C5" s="35">
        <f t="shared" si="0"/>
        <v>4</v>
      </c>
      <c r="D5" s="35" t="b">
        <v>0</v>
      </c>
      <c r="E5" s="35"/>
      <c r="F5" s="35" t="b">
        <v>0</v>
      </c>
      <c r="G5" s="35" t="b">
        <v>0</v>
      </c>
      <c r="H5" s="35" t="b">
        <v>0</v>
      </c>
      <c r="I5" s="35" t="b">
        <v>0</v>
      </c>
      <c r="J5" s="35" t="b">
        <v>0</v>
      </c>
      <c r="K5" s="35" t="b">
        <v>0</v>
      </c>
      <c r="L5" s="35" t="b">
        <v>0</v>
      </c>
      <c r="M5" s="35" t="b">
        <v>0</v>
      </c>
      <c r="N5" s="35" t="b">
        <v>0</v>
      </c>
      <c r="O5" s="35" t="b">
        <v>0</v>
      </c>
      <c r="P5" s="35" t="b">
        <v>0</v>
      </c>
      <c r="Q5" s="35" t="b">
        <v>0</v>
      </c>
      <c r="R5" s="35" t="b">
        <v>0</v>
      </c>
      <c r="S5" s="35" t="b">
        <v>0</v>
      </c>
      <c r="T5" s="35" t="b">
        <v>1</v>
      </c>
      <c r="U5" s="35" t="b">
        <v>0</v>
      </c>
      <c r="V5" s="35" t="b">
        <v>0</v>
      </c>
      <c r="W5" s="35" t="b">
        <v>0</v>
      </c>
      <c r="X5" s="35" t="b">
        <v>0</v>
      </c>
      <c r="Y5" s="35" t="b">
        <v>0</v>
      </c>
      <c r="Z5" s="35" t="b">
        <v>0</v>
      </c>
      <c r="AA5" s="35" t="b">
        <v>0</v>
      </c>
      <c r="AB5" s="35" t="b">
        <v>0</v>
      </c>
      <c r="AC5" s="35" t="b">
        <v>0</v>
      </c>
      <c r="AD5" s="35" t="b">
        <v>0</v>
      </c>
      <c r="AE5" s="35" t="b">
        <v>0</v>
      </c>
      <c r="AF5" s="35" t="b">
        <v>0</v>
      </c>
      <c r="AG5" s="35" t="b">
        <v>0</v>
      </c>
      <c r="AH5" s="35" t="b">
        <v>0</v>
      </c>
      <c r="AI5" s="35" t="b">
        <v>0</v>
      </c>
      <c r="AJ5" s="35" t="b">
        <v>0</v>
      </c>
      <c r="AK5" s="35" t="b">
        <v>0</v>
      </c>
      <c r="AL5" s="35" t="b">
        <v>0</v>
      </c>
      <c r="AM5" s="35" t="b">
        <v>0</v>
      </c>
      <c r="AN5" s="35" t="b">
        <v>0</v>
      </c>
      <c r="AO5" s="35" t="b">
        <v>0</v>
      </c>
      <c r="AP5" s="35" t="b">
        <v>0</v>
      </c>
      <c r="AQ5" s="35" t="b">
        <v>0</v>
      </c>
      <c r="AR5" s="35" t="b">
        <v>0</v>
      </c>
      <c r="AS5" s="35" t="b">
        <v>0</v>
      </c>
      <c r="AT5" s="35" t="b">
        <v>0</v>
      </c>
      <c r="AU5" s="35" t="b">
        <v>0</v>
      </c>
      <c r="AV5" s="35" t="b">
        <v>0</v>
      </c>
      <c r="AW5" s="35" t="b">
        <v>0</v>
      </c>
      <c r="AX5" s="35" t="b">
        <v>0</v>
      </c>
      <c r="AY5" s="35" t="b">
        <v>0</v>
      </c>
      <c r="AZ5" s="35" t="b">
        <v>0</v>
      </c>
      <c r="BA5" s="35" t="b">
        <v>0</v>
      </c>
      <c r="BB5" s="35" t="b">
        <v>0</v>
      </c>
      <c r="BC5" s="35" t="b">
        <v>0</v>
      </c>
      <c r="BD5" s="35" t="b">
        <v>0</v>
      </c>
      <c r="BE5" s="35" t="b">
        <v>0</v>
      </c>
      <c r="BF5" s="35" t="b">
        <v>1</v>
      </c>
      <c r="BG5" s="35" t="b">
        <v>0</v>
      </c>
      <c r="BH5" s="35" t="b">
        <v>0</v>
      </c>
      <c r="BI5" s="35" t="b">
        <v>1</v>
      </c>
      <c r="BJ5" s="35" t="b">
        <v>0</v>
      </c>
      <c r="BK5" s="35" t="b">
        <v>1</v>
      </c>
      <c r="BL5" s="35" t="b">
        <v>0</v>
      </c>
      <c r="BM5" s="35" t="b">
        <v>0</v>
      </c>
      <c r="BN5" s="35" t="b">
        <v>1</v>
      </c>
      <c r="BO5" s="35" t="b">
        <v>0</v>
      </c>
      <c r="BP5" s="35" t="b">
        <v>0</v>
      </c>
      <c r="BQ5" s="35" t="b">
        <v>0</v>
      </c>
      <c r="BR5" s="35" t="b">
        <v>0</v>
      </c>
      <c r="BS5" s="35" t="b">
        <v>0</v>
      </c>
      <c r="BT5" s="35" t="b">
        <v>0</v>
      </c>
      <c r="BU5" s="35" t="b">
        <v>0</v>
      </c>
      <c r="BV5" s="35" t="b">
        <v>0</v>
      </c>
      <c r="BW5" s="35" t="b">
        <v>0</v>
      </c>
      <c r="BX5" s="35" t="b">
        <v>0</v>
      </c>
      <c r="BY5" s="35" t="b">
        <v>0</v>
      </c>
      <c r="BZ5" s="35" t="b">
        <v>0</v>
      </c>
      <c r="CA5" s="35" t="b">
        <v>0</v>
      </c>
      <c r="CB5" s="35" t="b">
        <v>0</v>
      </c>
      <c r="CC5" s="35" t="b">
        <v>0</v>
      </c>
      <c r="CD5" s="35" t="b">
        <v>0</v>
      </c>
    </row>
    <row r="6" spans="1:82" x14ac:dyDescent="0.3">
      <c r="A6" s="35" t="s">
        <v>164</v>
      </c>
      <c r="B6" s="35" t="s">
        <v>164</v>
      </c>
      <c r="C6" s="35">
        <f t="shared" si="0"/>
        <v>3</v>
      </c>
      <c r="D6" s="35" t="b">
        <v>0</v>
      </c>
      <c r="E6" s="35" t="b">
        <v>0</v>
      </c>
      <c r="F6" s="35"/>
      <c r="G6" s="35" t="b">
        <v>0</v>
      </c>
      <c r="H6" s="35" t="b">
        <v>0</v>
      </c>
      <c r="I6" s="35" t="b">
        <v>0</v>
      </c>
      <c r="J6" s="35" t="b">
        <v>0</v>
      </c>
      <c r="K6" s="35" t="b">
        <v>0</v>
      </c>
      <c r="L6" s="35" t="b">
        <v>0</v>
      </c>
      <c r="M6" s="35" t="b">
        <v>0</v>
      </c>
      <c r="N6" s="35" t="b">
        <v>0</v>
      </c>
      <c r="O6" s="35" t="b">
        <v>0</v>
      </c>
      <c r="P6" s="35" t="b">
        <v>0</v>
      </c>
      <c r="Q6" s="35" t="b">
        <v>0</v>
      </c>
      <c r="R6" s="35" t="b">
        <v>0</v>
      </c>
      <c r="S6" s="35" t="b">
        <v>0</v>
      </c>
      <c r="T6" s="35" t="b">
        <v>0</v>
      </c>
      <c r="U6" s="35" t="b">
        <v>0</v>
      </c>
      <c r="V6" s="35" t="b">
        <v>0</v>
      </c>
      <c r="W6" s="35" t="b">
        <v>0</v>
      </c>
      <c r="X6" s="35" t="b">
        <v>0</v>
      </c>
      <c r="Y6" s="35" t="b">
        <v>0</v>
      </c>
      <c r="Z6" s="35" t="b">
        <v>0</v>
      </c>
      <c r="AA6" s="35" t="b">
        <v>1</v>
      </c>
      <c r="AB6" s="35" t="b">
        <v>0</v>
      </c>
      <c r="AC6" s="35" t="b">
        <v>0</v>
      </c>
      <c r="AD6" s="35" t="b">
        <v>0</v>
      </c>
      <c r="AE6" s="35" t="b">
        <v>0</v>
      </c>
      <c r="AF6" s="35" t="b">
        <v>1</v>
      </c>
      <c r="AG6" s="35" t="b">
        <v>0</v>
      </c>
      <c r="AH6" s="35" t="b">
        <v>0</v>
      </c>
      <c r="AI6" s="35" t="b">
        <v>0</v>
      </c>
      <c r="AJ6" s="35" t="b">
        <v>0</v>
      </c>
      <c r="AK6" s="35" t="b">
        <v>0</v>
      </c>
      <c r="AL6" s="35" t="b">
        <v>0</v>
      </c>
      <c r="AM6" s="35" t="b">
        <v>0</v>
      </c>
      <c r="AN6" s="35" t="b">
        <v>0</v>
      </c>
      <c r="AO6" s="35" t="b">
        <v>0</v>
      </c>
      <c r="AP6" s="35" t="b">
        <v>0</v>
      </c>
      <c r="AQ6" s="35" t="b">
        <v>0</v>
      </c>
      <c r="AR6" s="35" t="b">
        <v>0</v>
      </c>
      <c r="AS6" s="35" t="b">
        <v>0</v>
      </c>
      <c r="AT6" s="35" t="b">
        <v>0</v>
      </c>
      <c r="AU6" s="35" t="b">
        <v>0</v>
      </c>
      <c r="AV6" s="35" t="b">
        <v>0</v>
      </c>
      <c r="AW6" s="35" t="b">
        <v>0</v>
      </c>
      <c r="AX6" s="35" t="b">
        <v>0</v>
      </c>
      <c r="AY6" s="35" t="b">
        <v>0</v>
      </c>
      <c r="AZ6" s="35" t="b">
        <v>0</v>
      </c>
      <c r="BA6" s="35" t="b">
        <v>0</v>
      </c>
      <c r="BB6" s="35" t="b">
        <v>1</v>
      </c>
      <c r="BC6" s="35" t="b">
        <v>0</v>
      </c>
      <c r="BD6" s="35" t="b">
        <v>0</v>
      </c>
      <c r="BE6" s="35" t="b">
        <v>0</v>
      </c>
      <c r="BF6" s="35" t="b">
        <v>0</v>
      </c>
      <c r="BG6" s="35" t="b">
        <v>0</v>
      </c>
      <c r="BH6" s="35" t="b">
        <v>0</v>
      </c>
      <c r="BI6" s="35" t="b">
        <v>0</v>
      </c>
      <c r="BJ6" s="35" t="b">
        <v>0</v>
      </c>
      <c r="BK6" s="35" t="b">
        <v>1</v>
      </c>
      <c r="BL6" s="35" t="b">
        <v>0</v>
      </c>
      <c r="BM6" s="35" t="b">
        <v>0</v>
      </c>
      <c r="BN6" s="35" t="b">
        <v>0</v>
      </c>
      <c r="BO6" s="35" t="b">
        <v>0</v>
      </c>
      <c r="BP6" s="35" t="b">
        <v>0</v>
      </c>
      <c r="BQ6" s="35" t="b">
        <v>0</v>
      </c>
      <c r="BR6" s="35" t="b">
        <v>0</v>
      </c>
      <c r="BS6" s="35" t="b">
        <v>0</v>
      </c>
      <c r="BT6" s="35" t="b">
        <v>0</v>
      </c>
      <c r="BU6" s="35" t="b">
        <v>0</v>
      </c>
      <c r="BV6" s="35" t="b">
        <v>0</v>
      </c>
      <c r="BW6" s="35" t="b">
        <v>0</v>
      </c>
      <c r="BX6" s="35" t="b">
        <v>0</v>
      </c>
      <c r="BY6" s="35" t="b">
        <v>0</v>
      </c>
      <c r="BZ6" s="35" t="b">
        <v>0</v>
      </c>
      <c r="CA6" s="35" t="b">
        <v>0</v>
      </c>
      <c r="CB6" s="35" t="b">
        <v>0</v>
      </c>
      <c r="CC6" s="35" t="b">
        <v>0</v>
      </c>
      <c r="CD6" s="35" t="b">
        <v>0</v>
      </c>
    </row>
    <row r="7" spans="1:82" x14ac:dyDescent="0.3">
      <c r="A7" s="35" t="s">
        <v>130</v>
      </c>
      <c r="B7" s="35" t="s">
        <v>130</v>
      </c>
      <c r="C7" s="35">
        <f t="shared" si="0"/>
        <v>5</v>
      </c>
      <c r="D7" s="35" t="b">
        <v>0</v>
      </c>
      <c r="E7" s="35" t="b">
        <v>0</v>
      </c>
      <c r="F7" s="35" t="b">
        <v>0</v>
      </c>
      <c r="G7" s="35"/>
      <c r="H7" s="35" t="b">
        <v>0</v>
      </c>
      <c r="I7" s="35" t="b">
        <v>0</v>
      </c>
      <c r="J7" s="35" t="b">
        <v>0</v>
      </c>
      <c r="K7" s="35" t="b">
        <v>0</v>
      </c>
      <c r="L7" s="35" t="b">
        <v>1</v>
      </c>
      <c r="M7" s="35" t="b">
        <v>0</v>
      </c>
      <c r="N7" s="35" t="b">
        <v>0</v>
      </c>
      <c r="O7" s="35" t="b">
        <v>0</v>
      </c>
      <c r="P7" s="35" t="b">
        <v>0</v>
      </c>
      <c r="Q7" s="35" t="b">
        <v>0</v>
      </c>
      <c r="R7" s="35" t="b">
        <v>0</v>
      </c>
      <c r="S7" s="35" t="b">
        <v>0</v>
      </c>
      <c r="T7" s="35" t="b">
        <v>0</v>
      </c>
      <c r="U7" s="35" t="b">
        <v>1</v>
      </c>
      <c r="V7" s="35" t="b">
        <v>0</v>
      </c>
      <c r="W7" s="35" t="b">
        <v>0</v>
      </c>
      <c r="X7" s="35" t="b">
        <v>0</v>
      </c>
      <c r="Y7" s="35" t="b">
        <v>0</v>
      </c>
      <c r="Z7" s="35" t="b">
        <v>0</v>
      </c>
      <c r="AA7" s="35" t="b">
        <v>0</v>
      </c>
      <c r="AB7" s="35" t="b">
        <v>0</v>
      </c>
      <c r="AC7" s="35" t="b">
        <v>0</v>
      </c>
      <c r="AD7" s="35" t="b">
        <v>0</v>
      </c>
      <c r="AE7" s="35" t="b">
        <v>0</v>
      </c>
      <c r="AF7" s="35" t="b">
        <v>0</v>
      </c>
      <c r="AG7" s="35" t="b">
        <v>0</v>
      </c>
      <c r="AH7" s="35" t="b">
        <v>0</v>
      </c>
      <c r="AI7" s="35" t="b">
        <v>0</v>
      </c>
      <c r="AJ7" s="35" t="b">
        <v>0</v>
      </c>
      <c r="AK7" s="35" t="b">
        <v>0</v>
      </c>
      <c r="AL7" s="35" t="b">
        <v>0</v>
      </c>
      <c r="AM7" s="35" t="b">
        <v>0</v>
      </c>
      <c r="AN7" s="35" t="b">
        <v>0</v>
      </c>
      <c r="AO7" s="35" t="b">
        <v>0</v>
      </c>
      <c r="AP7" s="35" t="b">
        <v>0</v>
      </c>
      <c r="AQ7" s="35" t="b">
        <v>1</v>
      </c>
      <c r="AR7" s="35" t="b">
        <v>0</v>
      </c>
      <c r="AS7" s="35" t="b">
        <v>0</v>
      </c>
      <c r="AT7" s="35" t="b">
        <v>0</v>
      </c>
      <c r="AU7" s="35" t="b">
        <v>0</v>
      </c>
      <c r="AV7" s="35" t="b">
        <v>0</v>
      </c>
      <c r="AW7" s="35" t="b">
        <v>0</v>
      </c>
      <c r="AX7" s="35" t="b">
        <v>0</v>
      </c>
      <c r="AY7" s="35" t="b">
        <v>0</v>
      </c>
      <c r="AZ7" s="35" t="b">
        <v>0</v>
      </c>
      <c r="BA7" s="35" t="b">
        <v>0</v>
      </c>
      <c r="BB7" s="35" t="b">
        <v>0</v>
      </c>
      <c r="BC7" s="35" t="b">
        <v>0</v>
      </c>
      <c r="BD7" s="35" t="b">
        <v>0</v>
      </c>
      <c r="BE7" s="35" t="b">
        <v>0</v>
      </c>
      <c r="BF7" s="35" t="b">
        <v>0</v>
      </c>
      <c r="BG7" s="35" t="b">
        <v>0</v>
      </c>
      <c r="BH7" s="35" t="b">
        <v>1</v>
      </c>
      <c r="BI7" s="35" t="b">
        <v>0</v>
      </c>
      <c r="BJ7" s="35" t="b">
        <v>0</v>
      </c>
      <c r="BK7" s="35" t="b">
        <v>0</v>
      </c>
      <c r="BL7" s="35" t="b">
        <v>0</v>
      </c>
      <c r="BM7" s="35" t="b">
        <v>0</v>
      </c>
      <c r="BN7" s="35" t="b">
        <v>0</v>
      </c>
      <c r="BO7" s="35" t="b">
        <v>0</v>
      </c>
      <c r="BP7" s="35" t="b">
        <v>0</v>
      </c>
      <c r="BQ7" s="35" t="b">
        <v>0</v>
      </c>
      <c r="BR7" s="35" t="b">
        <v>0</v>
      </c>
      <c r="BS7" s="35" t="b">
        <v>0</v>
      </c>
      <c r="BT7" s="35" t="b">
        <v>0</v>
      </c>
      <c r="BU7" s="35" t="b">
        <v>0</v>
      </c>
      <c r="BV7" s="35" t="b">
        <v>0</v>
      </c>
      <c r="BW7" s="35" t="b">
        <v>0</v>
      </c>
      <c r="BX7" s="35" t="b">
        <v>0</v>
      </c>
      <c r="BY7" s="35" t="b">
        <v>1</v>
      </c>
      <c r="BZ7" s="35" t="b">
        <v>0</v>
      </c>
      <c r="CA7" s="35" t="b">
        <v>0</v>
      </c>
      <c r="CB7" s="35" t="b">
        <v>1</v>
      </c>
      <c r="CC7" s="35" t="b">
        <v>0</v>
      </c>
      <c r="CD7" s="35" t="b">
        <v>0</v>
      </c>
    </row>
    <row r="8" spans="1:82" x14ac:dyDescent="0.3">
      <c r="A8" s="35" t="s">
        <v>147</v>
      </c>
      <c r="B8" s="35" t="s">
        <v>147</v>
      </c>
      <c r="C8" s="35">
        <f t="shared" si="0"/>
        <v>1</v>
      </c>
      <c r="D8" s="35" t="b">
        <v>0</v>
      </c>
      <c r="E8" s="35" t="b">
        <v>0</v>
      </c>
      <c r="F8" s="35" t="b">
        <v>0</v>
      </c>
      <c r="G8" s="35" t="b">
        <v>0</v>
      </c>
      <c r="H8" s="35"/>
      <c r="I8" s="35" t="b">
        <v>0</v>
      </c>
      <c r="J8" s="35" t="b">
        <v>0</v>
      </c>
      <c r="K8" s="35" t="b">
        <v>0</v>
      </c>
      <c r="L8" s="35" t="b">
        <v>0</v>
      </c>
      <c r="M8" s="35" t="b">
        <v>0</v>
      </c>
      <c r="N8" s="35" t="b">
        <v>0</v>
      </c>
      <c r="O8" s="35" t="b">
        <v>0</v>
      </c>
      <c r="P8" s="35" t="b">
        <v>1</v>
      </c>
      <c r="Q8" s="35" t="b">
        <v>0</v>
      </c>
      <c r="R8" s="35" t="b">
        <v>0</v>
      </c>
      <c r="S8" s="35" t="b">
        <v>0</v>
      </c>
      <c r="T8" s="35" t="b">
        <v>0</v>
      </c>
      <c r="U8" s="35" t="b">
        <v>0</v>
      </c>
      <c r="V8" s="35" t="b">
        <v>0</v>
      </c>
      <c r="W8" s="35" t="b">
        <v>0</v>
      </c>
      <c r="X8" s="35" t="b">
        <v>0</v>
      </c>
      <c r="Y8" s="35" t="b">
        <v>0</v>
      </c>
      <c r="Z8" s="35" t="b">
        <v>0</v>
      </c>
      <c r="AA8" s="35" t="b">
        <v>0</v>
      </c>
      <c r="AB8" s="35" t="b">
        <v>0</v>
      </c>
      <c r="AC8" s="35" t="b">
        <v>0</v>
      </c>
      <c r="AD8" s="35" t="b">
        <v>0</v>
      </c>
      <c r="AE8" s="35" t="b">
        <v>0</v>
      </c>
      <c r="AF8" s="35" t="b">
        <v>0</v>
      </c>
      <c r="AG8" s="35" t="b">
        <v>0</v>
      </c>
      <c r="AH8" s="35" t="b">
        <v>0</v>
      </c>
      <c r="AI8" s="35" t="b">
        <v>0</v>
      </c>
      <c r="AJ8" s="35" t="b">
        <v>0</v>
      </c>
      <c r="AK8" s="35" t="b">
        <v>0</v>
      </c>
      <c r="AL8" s="35" t="b">
        <v>0</v>
      </c>
      <c r="AM8" s="35" t="b">
        <v>0</v>
      </c>
      <c r="AN8" s="35" t="b">
        <v>0</v>
      </c>
      <c r="AO8" s="35" t="b">
        <v>0</v>
      </c>
      <c r="AP8" s="35" t="b">
        <v>0</v>
      </c>
      <c r="AQ8" s="35" t="b">
        <v>0</v>
      </c>
      <c r="AR8" s="35" t="b">
        <v>0</v>
      </c>
      <c r="AS8" s="35" t="b">
        <v>0</v>
      </c>
      <c r="AT8" s="35" t="b">
        <v>0</v>
      </c>
      <c r="AU8" s="35" t="b">
        <v>0</v>
      </c>
      <c r="AV8" s="35" t="b">
        <v>0</v>
      </c>
      <c r="AW8" s="35" t="b">
        <v>0</v>
      </c>
      <c r="AX8" s="35" t="b">
        <v>0</v>
      </c>
      <c r="AY8" s="35" t="b">
        <v>0</v>
      </c>
      <c r="AZ8" s="35" t="b">
        <v>0</v>
      </c>
      <c r="BA8" s="35" t="b">
        <v>0</v>
      </c>
      <c r="BB8" s="35" t="b">
        <v>0</v>
      </c>
      <c r="BC8" s="35" t="b">
        <v>0</v>
      </c>
      <c r="BD8" s="35" t="b">
        <v>0</v>
      </c>
      <c r="BE8" s="35" t="b">
        <v>0</v>
      </c>
      <c r="BF8" s="35" t="b">
        <v>0</v>
      </c>
      <c r="BG8" s="35" t="b">
        <v>0</v>
      </c>
      <c r="BH8" s="35" t="b">
        <v>0</v>
      </c>
      <c r="BI8" s="35" t="b">
        <v>0</v>
      </c>
      <c r="BJ8" s="35" t="b">
        <v>0</v>
      </c>
      <c r="BK8" s="35" t="b">
        <v>0</v>
      </c>
      <c r="BL8" s="35" t="b">
        <v>0</v>
      </c>
      <c r="BM8" s="35" t="b">
        <v>1</v>
      </c>
      <c r="BN8" s="35" t="b">
        <v>0</v>
      </c>
      <c r="BO8" s="35" t="b">
        <v>0</v>
      </c>
      <c r="BP8" s="35" t="b">
        <v>0</v>
      </c>
      <c r="BQ8" s="35" t="b">
        <v>0</v>
      </c>
      <c r="BR8" s="35" t="b">
        <v>0</v>
      </c>
      <c r="BS8" s="35" t="b">
        <v>0</v>
      </c>
      <c r="BT8" s="35" t="b">
        <v>0</v>
      </c>
      <c r="BU8" s="35" t="b">
        <v>0</v>
      </c>
      <c r="BV8" s="35" t="b">
        <v>0</v>
      </c>
      <c r="BW8" s="35" t="b">
        <v>0</v>
      </c>
      <c r="BX8" s="35" t="b">
        <v>0</v>
      </c>
      <c r="BY8" s="35" t="b">
        <v>0</v>
      </c>
      <c r="BZ8" s="35" t="b">
        <v>0</v>
      </c>
      <c r="CA8" s="35" t="b">
        <v>0</v>
      </c>
      <c r="CB8" s="35" t="b">
        <v>0</v>
      </c>
      <c r="CC8" s="35" t="b">
        <v>0</v>
      </c>
      <c r="CD8" s="35" t="b">
        <v>0</v>
      </c>
    </row>
    <row r="9" spans="1:82" x14ac:dyDescent="0.3">
      <c r="A9" s="35" t="s">
        <v>148</v>
      </c>
      <c r="B9" s="35" t="s">
        <v>148</v>
      </c>
      <c r="C9" s="35">
        <f t="shared" si="0"/>
        <v>5</v>
      </c>
      <c r="D9" s="35" t="b">
        <v>0</v>
      </c>
      <c r="E9" s="35" t="b">
        <v>0</v>
      </c>
      <c r="F9" s="35" t="b">
        <v>0</v>
      </c>
      <c r="G9" s="35" t="b">
        <v>0</v>
      </c>
      <c r="H9" s="35" t="b">
        <v>0</v>
      </c>
      <c r="I9" s="35"/>
      <c r="J9" s="35" t="b">
        <v>0</v>
      </c>
      <c r="K9" s="35" t="b">
        <v>0</v>
      </c>
      <c r="L9" s="35" t="b">
        <v>0</v>
      </c>
      <c r="M9" s="35" t="b">
        <v>0</v>
      </c>
      <c r="N9" s="35" t="b">
        <v>0</v>
      </c>
      <c r="O9" s="35" t="b">
        <v>0</v>
      </c>
      <c r="P9" s="35" t="b">
        <v>1</v>
      </c>
      <c r="Q9" s="35" t="b">
        <v>0</v>
      </c>
      <c r="R9" s="35" t="b">
        <v>0</v>
      </c>
      <c r="S9" s="35" t="b">
        <v>0</v>
      </c>
      <c r="T9" s="35" t="b">
        <v>0</v>
      </c>
      <c r="U9" s="35" t="b">
        <v>0</v>
      </c>
      <c r="V9" s="35" t="b">
        <v>0</v>
      </c>
      <c r="W9" s="35" t="b">
        <v>0</v>
      </c>
      <c r="X9" s="35" t="b">
        <v>0</v>
      </c>
      <c r="Y9" s="35" t="b">
        <v>0</v>
      </c>
      <c r="Z9" s="35" t="b">
        <v>0</v>
      </c>
      <c r="AA9" s="35" t="b">
        <v>0</v>
      </c>
      <c r="AB9" s="35" t="b">
        <v>0</v>
      </c>
      <c r="AC9" s="35" t="b">
        <v>0</v>
      </c>
      <c r="AD9" s="35" t="b">
        <v>0</v>
      </c>
      <c r="AE9" s="35" t="b">
        <v>0</v>
      </c>
      <c r="AF9" s="35" t="b">
        <v>0</v>
      </c>
      <c r="AG9" s="35" t="b">
        <v>0</v>
      </c>
      <c r="AH9" s="35" t="b">
        <v>0</v>
      </c>
      <c r="AI9" s="35" t="b">
        <v>0</v>
      </c>
      <c r="AJ9" s="35" t="b">
        <v>0</v>
      </c>
      <c r="AK9" s="35" t="b">
        <v>0</v>
      </c>
      <c r="AL9" s="35" t="b">
        <v>0</v>
      </c>
      <c r="AM9" s="35" t="b">
        <v>0</v>
      </c>
      <c r="AN9" s="35" t="b">
        <v>1</v>
      </c>
      <c r="AO9" s="35" t="b">
        <v>0</v>
      </c>
      <c r="AP9" s="35" t="b">
        <v>0</v>
      </c>
      <c r="AQ9" s="35" t="b">
        <v>0</v>
      </c>
      <c r="AR9" s="35" t="b">
        <v>1</v>
      </c>
      <c r="AS9" s="35" t="b">
        <v>0</v>
      </c>
      <c r="AT9" s="35" t="b">
        <v>0</v>
      </c>
      <c r="AU9" s="35" t="b">
        <v>0</v>
      </c>
      <c r="AV9" s="35" t="b">
        <v>0</v>
      </c>
      <c r="AW9" s="35" t="b">
        <v>0</v>
      </c>
      <c r="AX9" s="35" t="b">
        <v>0</v>
      </c>
      <c r="AY9" s="35" t="b">
        <v>0</v>
      </c>
      <c r="AZ9" s="35" t="b">
        <v>0</v>
      </c>
      <c r="BA9" s="35" t="b">
        <v>0</v>
      </c>
      <c r="BB9" s="35" t="b">
        <v>0</v>
      </c>
      <c r="BC9" s="35" t="b">
        <v>0</v>
      </c>
      <c r="BD9" s="35" t="b">
        <v>0</v>
      </c>
      <c r="BE9" s="35" t="b">
        <v>0</v>
      </c>
      <c r="BF9" s="35" t="b">
        <v>0</v>
      </c>
      <c r="BG9" s="35" t="b">
        <v>0</v>
      </c>
      <c r="BH9" s="35" t="b">
        <v>0</v>
      </c>
      <c r="BI9" s="35" t="b">
        <v>0</v>
      </c>
      <c r="BJ9" s="35" t="b">
        <v>0</v>
      </c>
      <c r="BK9" s="35" t="b">
        <v>0</v>
      </c>
      <c r="BL9" s="35" t="b">
        <v>0</v>
      </c>
      <c r="BM9" s="35" t="b">
        <v>1</v>
      </c>
      <c r="BN9" s="35" t="b">
        <v>0</v>
      </c>
      <c r="BO9" s="35" t="b">
        <v>0</v>
      </c>
      <c r="BP9" s="35" t="b">
        <v>0</v>
      </c>
      <c r="BQ9" s="35" t="b">
        <v>0</v>
      </c>
      <c r="BR9" s="35" t="b">
        <v>0</v>
      </c>
      <c r="BS9" s="35" t="b">
        <v>0</v>
      </c>
      <c r="BT9" s="35" t="b">
        <v>0</v>
      </c>
      <c r="BU9" s="35" t="b">
        <v>0</v>
      </c>
      <c r="BV9" s="35" t="b">
        <v>1</v>
      </c>
      <c r="BW9" s="35" t="b">
        <v>0</v>
      </c>
      <c r="BX9" s="35" t="b">
        <v>0</v>
      </c>
      <c r="BY9" s="35" t="b">
        <v>0</v>
      </c>
      <c r="BZ9" s="35" t="b">
        <v>0</v>
      </c>
      <c r="CA9" s="35" t="b">
        <v>0</v>
      </c>
      <c r="CB9" s="35" t="b">
        <v>0</v>
      </c>
      <c r="CC9" s="35" t="b">
        <v>1</v>
      </c>
      <c r="CD9" s="35" t="b">
        <v>0</v>
      </c>
    </row>
    <row r="10" spans="1:82" x14ac:dyDescent="0.3">
      <c r="A10" s="35" t="s">
        <v>149</v>
      </c>
      <c r="B10" s="35" t="s">
        <v>149</v>
      </c>
      <c r="C10" s="35">
        <f t="shared" si="0"/>
        <v>2</v>
      </c>
      <c r="D10" s="35" t="b">
        <v>0</v>
      </c>
      <c r="E10" s="35" t="b">
        <v>0</v>
      </c>
      <c r="F10" s="35" t="b">
        <v>0</v>
      </c>
      <c r="G10" s="35" t="b">
        <v>0</v>
      </c>
      <c r="H10" s="35" t="b">
        <v>0</v>
      </c>
      <c r="I10" s="35" t="b">
        <v>0</v>
      </c>
      <c r="J10" s="35"/>
      <c r="K10" s="35" t="b">
        <v>0</v>
      </c>
      <c r="L10" s="35" t="b">
        <v>0</v>
      </c>
      <c r="M10" s="35" t="b">
        <v>0</v>
      </c>
      <c r="N10" s="35" t="b">
        <v>0</v>
      </c>
      <c r="O10" s="35" t="b">
        <v>0</v>
      </c>
      <c r="P10" s="35" t="b">
        <v>0</v>
      </c>
      <c r="Q10" s="35" t="b">
        <v>0</v>
      </c>
      <c r="R10" s="35" t="b">
        <v>0</v>
      </c>
      <c r="S10" s="35" t="b">
        <v>0</v>
      </c>
      <c r="T10" s="35" t="b">
        <v>0</v>
      </c>
      <c r="U10" s="35" t="b">
        <v>0</v>
      </c>
      <c r="V10" s="35" t="b">
        <v>0</v>
      </c>
      <c r="W10" s="35" t="b">
        <v>0</v>
      </c>
      <c r="X10" s="35" t="b">
        <v>0</v>
      </c>
      <c r="Y10" s="35" t="b">
        <v>1</v>
      </c>
      <c r="Z10" s="35" t="b">
        <v>0</v>
      </c>
      <c r="AA10" s="35" t="b">
        <v>0</v>
      </c>
      <c r="AB10" s="35" t="b">
        <v>0</v>
      </c>
      <c r="AC10" s="35" t="b">
        <v>0</v>
      </c>
      <c r="AD10" s="35" t="b">
        <v>0</v>
      </c>
      <c r="AE10" s="35" t="b">
        <v>0</v>
      </c>
      <c r="AF10" s="35" t="b">
        <v>0</v>
      </c>
      <c r="AG10" s="35" t="b">
        <v>0</v>
      </c>
      <c r="AH10" s="35" t="b">
        <v>0</v>
      </c>
      <c r="AI10" s="35" t="b">
        <v>0</v>
      </c>
      <c r="AJ10" s="35" t="b">
        <v>0</v>
      </c>
      <c r="AK10" s="35" t="b">
        <v>0</v>
      </c>
      <c r="AL10" s="35" t="b">
        <v>1</v>
      </c>
      <c r="AM10" s="35" t="b">
        <v>0</v>
      </c>
      <c r="AN10" s="35" t="b">
        <v>0</v>
      </c>
      <c r="AO10" s="35" t="b">
        <v>0</v>
      </c>
      <c r="AP10" s="35" t="b">
        <v>0</v>
      </c>
      <c r="AQ10" s="35" t="b">
        <v>0</v>
      </c>
      <c r="AR10" s="35" t="b">
        <v>0</v>
      </c>
      <c r="AS10" s="35" t="b">
        <v>0</v>
      </c>
      <c r="AT10" s="35" t="b">
        <v>0</v>
      </c>
      <c r="AU10" s="35" t="b">
        <v>0</v>
      </c>
      <c r="AV10" s="35" t="b">
        <v>0</v>
      </c>
      <c r="AW10" s="35" t="b">
        <v>0</v>
      </c>
      <c r="AX10" s="35" t="b">
        <v>0</v>
      </c>
      <c r="AY10" s="35" t="b">
        <v>0</v>
      </c>
      <c r="AZ10" s="35" t="b">
        <v>0</v>
      </c>
      <c r="BA10" s="35" t="b">
        <v>0</v>
      </c>
      <c r="BB10" s="35" t="b">
        <v>0</v>
      </c>
      <c r="BC10" s="35" t="b">
        <v>0</v>
      </c>
      <c r="BD10" s="35" t="b">
        <v>0</v>
      </c>
      <c r="BE10" s="35" t="b">
        <v>0</v>
      </c>
      <c r="BF10" s="35" t="b">
        <v>0</v>
      </c>
      <c r="BG10" s="35" t="b">
        <v>0</v>
      </c>
      <c r="BH10" s="35" t="b">
        <v>0</v>
      </c>
      <c r="BI10" s="35" t="b">
        <v>0</v>
      </c>
      <c r="BJ10" s="35" t="b">
        <v>1</v>
      </c>
      <c r="BK10" s="35" t="b">
        <v>0</v>
      </c>
      <c r="BL10" s="35" t="b">
        <v>0</v>
      </c>
      <c r="BM10" s="35" t="b">
        <v>0</v>
      </c>
      <c r="BN10" s="35" t="b">
        <v>0</v>
      </c>
      <c r="BO10" s="35" t="b">
        <v>0</v>
      </c>
      <c r="BP10" s="35" t="b">
        <v>0</v>
      </c>
      <c r="BQ10" s="35" t="b">
        <v>0</v>
      </c>
      <c r="BR10" s="35" t="b">
        <v>0</v>
      </c>
      <c r="BS10" s="35" t="b">
        <v>0</v>
      </c>
      <c r="BT10" s="35" t="b">
        <v>0</v>
      </c>
      <c r="BU10" s="35" t="b">
        <v>0</v>
      </c>
      <c r="BV10" s="35" t="b">
        <v>0</v>
      </c>
      <c r="BW10" s="35" t="b">
        <v>0</v>
      </c>
      <c r="BX10" s="35" t="b">
        <v>0</v>
      </c>
      <c r="BY10" s="35" t="b">
        <v>0</v>
      </c>
      <c r="BZ10" s="35" t="b">
        <v>0</v>
      </c>
      <c r="CA10" s="35" t="b">
        <v>0</v>
      </c>
      <c r="CB10" s="35" t="b">
        <v>0</v>
      </c>
      <c r="CC10" s="35" t="b">
        <v>0</v>
      </c>
      <c r="CD10" s="35" t="b">
        <v>0</v>
      </c>
    </row>
    <row r="11" spans="1:82" x14ac:dyDescent="0.3">
      <c r="A11" s="35" t="s">
        <v>112</v>
      </c>
      <c r="B11" s="35" t="s">
        <v>112</v>
      </c>
      <c r="C11" s="35">
        <f t="shared" si="0"/>
        <v>4</v>
      </c>
      <c r="D11" s="35" t="b">
        <v>0</v>
      </c>
      <c r="E11" s="35" t="b">
        <v>0</v>
      </c>
      <c r="F11" s="35" t="b">
        <v>0</v>
      </c>
      <c r="G11" s="35" t="b">
        <v>0</v>
      </c>
      <c r="H11" s="35" t="b">
        <v>0</v>
      </c>
      <c r="I11" s="35" t="b">
        <v>0</v>
      </c>
      <c r="J11" s="35" t="b">
        <v>0</v>
      </c>
      <c r="K11" s="35"/>
      <c r="L11" s="35" t="b">
        <v>0</v>
      </c>
      <c r="M11" s="35" t="b">
        <v>0</v>
      </c>
      <c r="N11" s="35" t="b">
        <v>0</v>
      </c>
      <c r="O11" s="35" t="b">
        <v>0</v>
      </c>
      <c r="P11" s="35" t="b">
        <v>0</v>
      </c>
      <c r="Q11" s="35" t="b">
        <v>0</v>
      </c>
      <c r="R11" s="35" t="b">
        <v>0</v>
      </c>
      <c r="S11" s="35" t="b">
        <v>0</v>
      </c>
      <c r="T11" s="35" t="b">
        <v>0</v>
      </c>
      <c r="U11" s="35" t="b">
        <v>0</v>
      </c>
      <c r="V11" s="35" t="b">
        <v>0</v>
      </c>
      <c r="W11" s="35" t="b">
        <v>0</v>
      </c>
      <c r="X11" s="35" t="b">
        <v>0</v>
      </c>
      <c r="Y11" s="35" t="b">
        <v>0</v>
      </c>
      <c r="Z11" s="35" t="b">
        <v>0</v>
      </c>
      <c r="AA11" s="35" t="b">
        <v>0</v>
      </c>
      <c r="AB11" s="35" t="b">
        <v>0</v>
      </c>
      <c r="AC11" s="35" t="b">
        <v>0</v>
      </c>
      <c r="AD11" s="35" t="b">
        <v>0</v>
      </c>
      <c r="AE11" s="35" t="b">
        <v>1</v>
      </c>
      <c r="AF11" s="35" t="b">
        <v>0</v>
      </c>
      <c r="AG11" s="35" t="b">
        <v>0</v>
      </c>
      <c r="AH11" s="35" t="b">
        <v>0</v>
      </c>
      <c r="AI11" s="35" t="b">
        <v>0</v>
      </c>
      <c r="AJ11" s="35" t="b">
        <v>0</v>
      </c>
      <c r="AK11" s="35" t="b">
        <v>0</v>
      </c>
      <c r="AL11" s="35" t="b">
        <v>0</v>
      </c>
      <c r="AM11" s="35" t="b">
        <v>0</v>
      </c>
      <c r="AN11" s="35" t="b">
        <v>0</v>
      </c>
      <c r="AO11" s="35" t="b">
        <v>0</v>
      </c>
      <c r="AP11" s="35" t="b">
        <v>0</v>
      </c>
      <c r="AQ11" s="35" t="b">
        <v>0</v>
      </c>
      <c r="AR11" s="35" t="b">
        <v>1</v>
      </c>
      <c r="AS11" s="35" t="b">
        <v>0</v>
      </c>
      <c r="AT11" s="35" t="b">
        <v>0</v>
      </c>
      <c r="AU11" s="35" t="b">
        <v>0</v>
      </c>
      <c r="AV11" s="35" t="b">
        <v>0</v>
      </c>
      <c r="AW11" s="35" t="b">
        <v>0</v>
      </c>
      <c r="AX11" s="35" t="b">
        <v>0</v>
      </c>
      <c r="AY11" s="35" t="b">
        <v>1</v>
      </c>
      <c r="AZ11" s="35" t="b">
        <v>0</v>
      </c>
      <c r="BA11" s="35" t="b">
        <v>0</v>
      </c>
      <c r="BB11" s="35" t="b">
        <v>0</v>
      </c>
      <c r="BC11" s="35" t="b">
        <v>0</v>
      </c>
      <c r="BD11" s="35" t="b">
        <v>0</v>
      </c>
      <c r="BE11" s="35" t="b">
        <v>0</v>
      </c>
      <c r="BF11" s="35" t="b">
        <v>0</v>
      </c>
      <c r="BG11" s="35" t="b">
        <v>0</v>
      </c>
      <c r="BH11" s="35" t="b">
        <v>0</v>
      </c>
      <c r="BI11" s="35" t="b">
        <v>0</v>
      </c>
      <c r="BJ11" s="35" t="b">
        <v>0</v>
      </c>
      <c r="BK11" s="35" t="b">
        <v>0</v>
      </c>
      <c r="BL11" s="35" t="b">
        <v>0</v>
      </c>
      <c r="BM11" s="35" t="b">
        <v>0</v>
      </c>
      <c r="BN11" s="35" t="b">
        <v>0</v>
      </c>
      <c r="BO11" s="35" t="b">
        <v>0</v>
      </c>
      <c r="BP11" s="35" t="b">
        <v>1</v>
      </c>
      <c r="BQ11" s="35" t="b">
        <v>0</v>
      </c>
      <c r="BR11" s="35" t="b">
        <v>0</v>
      </c>
      <c r="BS11" s="35" t="b">
        <v>0</v>
      </c>
      <c r="BT11" s="35" t="b">
        <v>1</v>
      </c>
      <c r="BU11" s="35" t="b">
        <v>0</v>
      </c>
      <c r="BV11" s="35" t="b">
        <v>0</v>
      </c>
      <c r="BW11" s="35" t="b">
        <v>0</v>
      </c>
      <c r="BX11" s="35" t="b">
        <v>0</v>
      </c>
      <c r="BY11" s="35" t="b">
        <v>0</v>
      </c>
      <c r="BZ11" s="35" t="b">
        <v>0</v>
      </c>
      <c r="CA11" s="35" t="b">
        <v>0</v>
      </c>
      <c r="CB11" s="35" t="b">
        <v>0</v>
      </c>
      <c r="CC11" s="35" t="b">
        <v>0</v>
      </c>
      <c r="CD11" s="35" t="b">
        <v>0</v>
      </c>
    </row>
    <row r="12" spans="1:82" x14ac:dyDescent="0.3">
      <c r="A12" s="35" t="s">
        <v>113</v>
      </c>
      <c r="B12" s="35" t="s">
        <v>113</v>
      </c>
      <c r="C12" s="35">
        <f t="shared" si="0"/>
        <v>5</v>
      </c>
      <c r="D12" s="35" t="b">
        <v>0</v>
      </c>
      <c r="E12" s="35" t="b">
        <v>0</v>
      </c>
      <c r="F12" s="35" t="b">
        <v>0</v>
      </c>
      <c r="G12" s="35" t="b">
        <v>1</v>
      </c>
      <c r="H12" s="35" t="b">
        <v>0</v>
      </c>
      <c r="I12" s="35" t="b">
        <v>0</v>
      </c>
      <c r="J12" s="35" t="b">
        <v>0</v>
      </c>
      <c r="K12" s="35" t="b">
        <v>0</v>
      </c>
      <c r="L12" s="35"/>
      <c r="M12" s="35" t="b">
        <v>0</v>
      </c>
      <c r="N12" s="35" t="b">
        <v>0</v>
      </c>
      <c r="O12" s="35" t="b">
        <v>0</v>
      </c>
      <c r="P12" s="35" t="b">
        <v>0</v>
      </c>
      <c r="Q12" s="35" t="b">
        <v>0</v>
      </c>
      <c r="R12" s="35" t="b">
        <v>0</v>
      </c>
      <c r="S12" s="35" t="b">
        <v>0</v>
      </c>
      <c r="T12" s="35" t="b">
        <v>0</v>
      </c>
      <c r="U12" s="35" t="b">
        <v>0</v>
      </c>
      <c r="V12" s="35" t="b">
        <v>0</v>
      </c>
      <c r="W12" s="35" t="b">
        <v>0</v>
      </c>
      <c r="X12" s="35" t="b">
        <v>0</v>
      </c>
      <c r="Y12" s="35" t="b">
        <v>0</v>
      </c>
      <c r="Z12" s="35" t="b">
        <v>0</v>
      </c>
      <c r="AA12" s="35" t="b">
        <v>0</v>
      </c>
      <c r="AB12" s="35" t="b">
        <v>0</v>
      </c>
      <c r="AC12" s="35" t="b">
        <v>0</v>
      </c>
      <c r="AD12" s="35" t="b">
        <v>0</v>
      </c>
      <c r="AE12" s="35" t="b">
        <v>0</v>
      </c>
      <c r="AF12" s="35" t="b">
        <v>0</v>
      </c>
      <c r="AG12" s="35" t="b">
        <v>0</v>
      </c>
      <c r="AH12" s="35" t="b">
        <v>0</v>
      </c>
      <c r="AI12" s="35" t="b">
        <v>0</v>
      </c>
      <c r="AJ12" s="35" t="b">
        <v>0</v>
      </c>
      <c r="AK12" s="35" t="b">
        <v>0</v>
      </c>
      <c r="AL12" s="35" t="b">
        <v>0</v>
      </c>
      <c r="AM12" s="35" t="b">
        <v>0</v>
      </c>
      <c r="AN12" s="35" t="b">
        <v>0</v>
      </c>
      <c r="AO12" s="35" t="b">
        <v>0</v>
      </c>
      <c r="AP12" s="35" t="b">
        <v>0</v>
      </c>
      <c r="AQ12" s="35" t="b">
        <v>1</v>
      </c>
      <c r="AR12" s="35" t="b">
        <v>0</v>
      </c>
      <c r="AS12" s="35" t="b">
        <v>0</v>
      </c>
      <c r="AT12" s="35" t="b">
        <v>0</v>
      </c>
      <c r="AU12" s="35" t="b">
        <v>0</v>
      </c>
      <c r="AV12" s="35" t="b">
        <v>0</v>
      </c>
      <c r="AW12" s="35" t="b">
        <v>0</v>
      </c>
      <c r="AX12" s="35" t="b">
        <v>0</v>
      </c>
      <c r="AY12" s="35" t="b">
        <v>0</v>
      </c>
      <c r="AZ12" s="35" t="b">
        <v>1</v>
      </c>
      <c r="BA12" s="35" t="b">
        <v>0</v>
      </c>
      <c r="BB12" s="35" t="b">
        <v>0</v>
      </c>
      <c r="BC12" s="35" t="b">
        <v>0</v>
      </c>
      <c r="BD12" s="35" t="b">
        <v>0</v>
      </c>
      <c r="BE12" s="35" t="b">
        <v>0</v>
      </c>
      <c r="BF12" s="35" t="b">
        <v>0</v>
      </c>
      <c r="BG12" s="35" t="b">
        <v>0</v>
      </c>
      <c r="BH12" s="35" t="b">
        <v>0</v>
      </c>
      <c r="BI12" s="35" t="b">
        <v>0</v>
      </c>
      <c r="BJ12" s="35" t="b">
        <v>0</v>
      </c>
      <c r="BK12" s="35" t="b">
        <v>0</v>
      </c>
      <c r="BL12" s="35" t="b">
        <v>0</v>
      </c>
      <c r="BM12" s="35" t="b">
        <v>0</v>
      </c>
      <c r="BN12" s="35" t="b">
        <v>0</v>
      </c>
      <c r="BO12" s="35" t="b">
        <v>1</v>
      </c>
      <c r="BP12" s="35" t="b">
        <v>0</v>
      </c>
      <c r="BQ12" s="35" t="b">
        <v>0</v>
      </c>
      <c r="BR12" s="35" t="b">
        <v>0</v>
      </c>
      <c r="BS12" s="35" t="b">
        <v>0</v>
      </c>
      <c r="BT12" s="35" t="b">
        <v>0</v>
      </c>
      <c r="BU12" s="35" t="b">
        <v>0</v>
      </c>
      <c r="BV12" s="35" t="b">
        <v>0</v>
      </c>
      <c r="BW12" s="35" t="b">
        <v>0</v>
      </c>
      <c r="BX12" s="35" t="b">
        <v>1</v>
      </c>
      <c r="BY12" s="35" t="b">
        <v>0</v>
      </c>
      <c r="BZ12" s="35" t="b">
        <v>0</v>
      </c>
      <c r="CA12" s="35" t="b">
        <v>0</v>
      </c>
      <c r="CB12" s="35" t="b">
        <v>1</v>
      </c>
      <c r="CC12" s="35" t="b">
        <v>0</v>
      </c>
      <c r="CD12" s="35" t="b">
        <v>0</v>
      </c>
    </row>
    <row r="13" spans="1:82" x14ac:dyDescent="0.3">
      <c r="A13" s="35" t="s">
        <v>165</v>
      </c>
      <c r="B13" s="35" t="s">
        <v>165</v>
      </c>
      <c r="C13" s="35">
        <f t="shared" si="0"/>
        <v>6</v>
      </c>
      <c r="D13" s="35" t="b">
        <v>0</v>
      </c>
      <c r="E13" s="35" t="b">
        <v>0</v>
      </c>
      <c r="F13" s="35" t="b">
        <v>0</v>
      </c>
      <c r="G13" s="35" t="b">
        <v>0</v>
      </c>
      <c r="H13" s="35" t="b">
        <v>0</v>
      </c>
      <c r="I13" s="35" t="b">
        <v>0</v>
      </c>
      <c r="J13" s="35" t="b">
        <v>0</v>
      </c>
      <c r="K13" s="35" t="b">
        <v>0</v>
      </c>
      <c r="L13" s="35" t="b">
        <v>0</v>
      </c>
      <c r="M13" s="35"/>
      <c r="N13" s="35" t="b">
        <v>0</v>
      </c>
      <c r="O13" s="35" t="b">
        <v>0</v>
      </c>
      <c r="P13" s="35" t="b">
        <v>0</v>
      </c>
      <c r="Q13" s="35" t="b">
        <v>0</v>
      </c>
      <c r="R13" s="35" t="b">
        <v>0</v>
      </c>
      <c r="S13" s="35" t="b">
        <v>0</v>
      </c>
      <c r="T13" s="35" t="b">
        <v>0</v>
      </c>
      <c r="U13" s="35" t="b">
        <v>0</v>
      </c>
      <c r="V13" s="35" t="b">
        <v>0</v>
      </c>
      <c r="W13" s="35" t="b">
        <v>0</v>
      </c>
      <c r="X13" s="35" t="b">
        <v>0</v>
      </c>
      <c r="Y13" s="35" t="b">
        <v>0</v>
      </c>
      <c r="Z13" s="35" t="b">
        <v>0</v>
      </c>
      <c r="AA13" s="35" t="b">
        <v>0</v>
      </c>
      <c r="AB13" s="35" t="b">
        <v>0</v>
      </c>
      <c r="AC13" s="35" t="b">
        <v>0</v>
      </c>
      <c r="AD13" s="35" t="b">
        <v>0</v>
      </c>
      <c r="AE13" s="35" t="b">
        <v>0</v>
      </c>
      <c r="AF13" s="35" t="b">
        <v>0</v>
      </c>
      <c r="AG13" s="35" t="b">
        <v>0</v>
      </c>
      <c r="AH13" s="35" t="b">
        <v>1</v>
      </c>
      <c r="AI13" s="35" t="b">
        <v>0</v>
      </c>
      <c r="AJ13" s="35" t="b">
        <v>1</v>
      </c>
      <c r="AK13" s="35" t="b">
        <v>0</v>
      </c>
      <c r="AL13" s="35" t="b">
        <v>0</v>
      </c>
      <c r="AM13" s="35" t="b">
        <v>0</v>
      </c>
      <c r="AN13" s="35" t="b">
        <v>0</v>
      </c>
      <c r="AO13" s="35" t="b">
        <v>0</v>
      </c>
      <c r="AP13" s="35" t="b">
        <v>0</v>
      </c>
      <c r="AQ13" s="35" t="b">
        <v>0</v>
      </c>
      <c r="AR13" s="35" t="b">
        <v>0</v>
      </c>
      <c r="AS13" s="35" t="b">
        <v>1</v>
      </c>
      <c r="AT13" s="35" t="b">
        <v>0</v>
      </c>
      <c r="AU13" s="35" t="b">
        <v>0</v>
      </c>
      <c r="AV13" s="35" t="b">
        <v>1</v>
      </c>
      <c r="AW13" s="35" t="b">
        <v>0</v>
      </c>
      <c r="AX13" s="35" t="b">
        <v>0</v>
      </c>
      <c r="AY13" s="35" t="b">
        <v>0</v>
      </c>
      <c r="AZ13" s="35" t="b">
        <v>0</v>
      </c>
      <c r="BA13" s="35" t="b">
        <v>1</v>
      </c>
      <c r="BB13" s="35" t="b">
        <v>0</v>
      </c>
      <c r="BC13" s="35" t="b">
        <v>1</v>
      </c>
      <c r="BD13" s="35" t="b">
        <v>0</v>
      </c>
      <c r="BE13" s="35" t="b">
        <v>0</v>
      </c>
      <c r="BF13" s="35" t="b">
        <v>0</v>
      </c>
      <c r="BG13" s="35" t="b">
        <v>0</v>
      </c>
      <c r="BH13" s="35" t="b">
        <v>0</v>
      </c>
      <c r="BI13" s="35" t="b">
        <v>0</v>
      </c>
      <c r="BJ13" s="35" t="b">
        <v>0</v>
      </c>
      <c r="BK13" s="35" t="b">
        <v>0</v>
      </c>
      <c r="BL13" s="35" t="b">
        <v>0</v>
      </c>
      <c r="BM13" s="35" t="b">
        <v>0</v>
      </c>
      <c r="BN13" s="35" t="b">
        <v>0</v>
      </c>
      <c r="BO13" s="35" t="b">
        <v>0</v>
      </c>
      <c r="BP13" s="35" t="b">
        <v>0</v>
      </c>
      <c r="BQ13" s="35" t="b">
        <v>0</v>
      </c>
      <c r="BR13" s="35" t="b">
        <v>0</v>
      </c>
      <c r="BS13" s="35" t="b">
        <v>0</v>
      </c>
      <c r="BT13" s="35" t="b">
        <v>0</v>
      </c>
      <c r="BU13" s="35" t="b">
        <v>0</v>
      </c>
      <c r="BV13" s="35" t="b">
        <v>0</v>
      </c>
      <c r="BW13" s="35" t="b">
        <v>0</v>
      </c>
      <c r="BX13" s="35" t="b">
        <v>0</v>
      </c>
      <c r="BY13" s="35" t="b">
        <v>0</v>
      </c>
      <c r="BZ13" s="35" t="b">
        <v>0</v>
      </c>
      <c r="CA13" s="35" t="b">
        <v>1</v>
      </c>
      <c r="CB13" s="35" t="b">
        <v>0</v>
      </c>
      <c r="CC13" s="35" t="b">
        <v>0</v>
      </c>
      <c r="CD13" s="35" t="b">
        <v>0</v>
      </c>
    </row>
    <row r="14" spans="1:82" x14ac:dyDescent="0.3">
      <c r="A14" s="35" t="s">
        <v>131</v>
      </c>
      <c r="B14" s="35" t="s">
        <v>131</v>
      </c>
      <c r="C14" s="35">
        <f t="shared" si="0"/>
        <v>5</v>
      </c>
      <c r="D14" s="35" t="b">
        <v>0</v>
      </c>
      <c r="E14" s="35" t="b">
        <v>0</v>
      </c>
      <c r="F14" s="35" t="b">
        <v>0</v>
      </c>
      <c r="G14" s="35" t="b">
        <v>0</v>
      </c>
      <c r="H14" s="35" t="b">
        <v>0</v>
      </c>
      <c r="I14" s="35" t="b">
        <v>0</v>
      </c>
      <c r="J14" s="35" t="b">
        <v>0</v>
      </c>
      <c r="K14" s="35" t="b">
        <v>0</v>
      </c>
      <c r="L14" s="35" t="b">
        <v>0</v>
      </c>
      <c r="M14" s="35" t="b">
        <v>0</v>
      </c>
      <c r="N14" s="35"/>
      <c r="O14" s="35" t="b">
        <v>0</v>
      </c>
      <c r="P14" s="35" t="b">
        <v>0</v>
      </c>
      <c r="Q14" s="35" t="b">
        <v>0</v>
      </c>
      <c r="R14" s="35" t="b">
        <v>0</v>
      </c>
      <c r="S14" s="35" t="b">
        <v>0</v>
      </c>
      <c r="T14" s="35" t="b">
        <v>0</v>
      </c>
      <c r="U14" s="35" t="b">
        <v>0</v>
      </c>
      <c r="V14" s="35" t="b">
        <v>0</v>
      </c>
      <c r="W14" s="35" t="b">
        <v>0</v>
      </c>
      <c r="X14" s="35" t="b">
        <v>1</v>
      </c>
      <c r="Y14" s="35" t="b">
        <v>0</v>
      </c>
      <c r="Z14" s="35" t="b">
        <v>0</v>
      </c>
      <c r="AA14" s="35" t="b">
        <v>0</v>
      </c>
      <c r="AB14" s="35" t="b">
        <v>0</v>
      </c>
      <c r="AC14" s="35" t="b">
        <v>0</v>
      </c>
      <c r="AD14" s="35" t="b">
        <v>0</v>
      </c>
      <c r="AE14" s="35" t="b">
        <v>0</v>
      </c>
      <c r="AF14" s="35" t="b">
        <v>0</v>
      </c>
      <c r="AG14" s="35" t="b">
        <v>0</v>
      </c>
      <c r="AH14" s="35" t="b">
        <v>0</v>
      </c>
      <c r="AI14" s="35" t="b">
        <v>0</v>
      </c>
      <c r="AJ14" s="35" t="b">
        <v>0</v>
      </c>
      <c r="AK14" s="35" t="b">
        <v>0</v>
      </c>
      <c r="AL14" s="35" t="b">
        <v>0</v>
      </c>
      <c r="AM14" s="35" t="b">
        <v>0</v>
      </c>
      <c r="AN14" s="35" t="b">
        <v>0</v>
      </c>
      <c r="AO14" s="35" t="b">
        <v>1</v>
      </c>
      <c r="AP14" s="35" t="b">
        <v>0</v>
      </c>
      <c r="AQ14" s="35" t="b">
        <v>0</v>
      </c>
      <c r="AR14" s="35" t="b">
        <v>0</v>
      </c>
      <c r="AS14" s="35" t="b">
        <v>0</v>
      </c>
      <c r="AT14" s="35" t="b">
        <v>0</v>
      </c>
      <c r="AU14" s="35" t="b">
        <v>0</v>
      </c>
      <c r="AV14" s="35" t="b">
        <v>0</v>
      </c>
      <c r="AW14" s="35" t="b">
        <v>1</v>
      </c>
      <c r="AX14" s="35" t="b">
        <v>0</v>
      </c>
      <c r="AY14" s="35" t="b">
        <v>0</v>
      </c>
      <c r="AZ14" s="35" t="b">
        <v>0</v>
      </c>
      <c r="BA14" s="35" t="b">
        <v>0</v>
      </c>
      <c r="BB14" s="35" t="b">
        <v>0</v>
      </c>
      <c r="BC14" s="35" t="b">
        <v>0</v>
      </c>
      <c r="BD14" s="35" t="b">
        <v>0</v>
      </c>
      <c r="BE14" s="35" t="b">
        <v>0</v>
      </c>
      <c r="BF14" s="35" t="b">
        <v>0</v>
      </c>
      <c r="BG14" s="35" t="b">
        <v>0</v>
      </c>
      <c r="BH14" s="35" t="b">
        <v>0</v>
      </c>
      <c r="BI14" s="35" t="b">
        <v>1</v>
      </c>
      <c r="BJ14" s="35" t="b">
        <v>0</v>
      </c>
      <c r="BK14" s="35" t="b">
        <v>0</v>
      </c>
      <c r="BL14" s="35" t="b">
        <v>0</v>
      </c>
      <c r="BM14" s="35" t="b">
        <v>0</v>
      </c>
      <c r="BN14" s="35" t="b">
        <v>0</v>
      </c>
      <c r="BO14" s="35" t="b">
        <v>0</v>
      </c>
      <c r="BP14" s="35" t="b">
        <v>0</v>
      </c>
      <c r="BQ14" s="35" t="b">
        <v>0</v>
      </c>
      <c r="BR14" s="35" t="b">
        <v>1</v>
      </c>
      <c r="BS14" s="35" t="b">
        <v>0</v>
      </c>
      <c r="BT14" s="35" t="b">
        <v>0</v>
      </c>
      <c r="BU14" s="35" t="b">
        <v>0</v>
      </c>
      <c r="BV14" s="35" t="b">
        <v>0</v>
      </c>
      <c r="BW14" s="35" t="b">
        <v>0</v>
      </c>
      <c r="BX14" s="35" t="b">
        <v>0</v>
      </c>
      <c r="BY14" s="35" t="b">
        <v>0</v>
      </c>
      <c r="BZ14" s="35" t="b">
        <v>0</v>
      </c>
      <c r="CA14" s="35" t="b">
        <v>0</v>
      </c>
      <c r="CB14" s="35" t="b">
        <v>0</v>
      </c>
      <c r="CC14" s="35" t="b">
        <v>0</v>
      </c>
      <c r="CD14" s="35" t="b">
        <v>1</v>
      </c>
    </row>
    <row r="15" spans="1:82" x14ac:dyDescent="0.3">
      <c r="A15" s="35" t="s">
        <v>132</v>
      </c>
      <c r="B15" s="35" t="s">
        <v>132</v>
      </c>
      <c r="C15" s="35">
        <f t="shared" si="0"/>
        <v>5</v>
      </c>
      <c r="D15" s="35" t="b">
        <v>0</v>
      </c>
      <c r="E15" s="35" t="b">
        <v>0</v>
      </c>
      <c r="F15" s="35" t="b">
        <v>0</v>
      </c>
      <c r="G15" s="35" t="b">
        <v>0</v>
      </c>
      <c r="H15" s="35" t="b">
        <v>0</v>
      </c>
      <c r="I15" s="35" t="b">
        <v>0</v>
      </c>
      <c r="J15" s="35" t="b">
        <v>0</v>
      </c>
      <c r="K15" s="35" t="b">
        <v>0</v>
      </c>
      <c r="L15" s="35" t="b">
        <v>0</v>
      </c>
      <c r="M15" s="35" t="b">
        <v>0</v>
      </c>
      <c r="N15" s="35" t="b">
        <v>0</v>
      </c>
      <c r="O15" s="35"/>
      <c r="P15" s="35" t="b">
        <v>0</v>
      </c>
      <c r="Q15" s="35" t="b">
        <v>0</v>
      </c>
      <c r="R15" s="35" t="b">
        <v>0</v>
      </c>
      <c r="S15" s="35" t="b">
        <v>0</v>
      </c>
      <c r="T15" s="35" t="b">
        <v>0</v>
      </c>
      <c r="U15" s="35" t="b">
        <v>0</v>
      </c>
      <c r="V15" s="35" t="b">
        <v>0</v>
      </c>
      <c r="W15" s="35" t="b">
        <v>0</v>
      </c>
      <c r="X15" s="35" t="b">
        <v>1</v>
      </c>
      <c r="Y15" s="35" t="b">
        <v>0</v>
      </c>
      <c r="Z15" s="35" t="b">
        <v>0</v>
      </c>
      <c r="AA15" s="35" t="b">
        <v>0</v>
      </c>
      <c r="AB15" s="35" t="b">
        <v>1</v>
      </c>
      <c r="AC15" s="35" t="b">
        <v>0</v>
      </c>
      <c r="AD15" s="35" t="b">
        <v>0</v>
      </c>
      <c r="AE15" s="35" t="b">
        <v>1</v>
      </c>
      <c r="AF15" s="35" t="b">
        <v>0</v>
      </c>
      <c r="AG15" s="35" t="b">
        <v>0</v>
      </c>
      <c r="AH15" s="35" t="b">
        <v>0</v>
      </c>
      <c r="AI15" s="35" t="b">
        <v>0</v>
      </c>
      <c r="AJ15" s="35" t="b">
        <v>0</v>
      </c>
      <c r="AK15" s="35" t="b">
        <v>0</v>
      </c>
      <c r="AL15" s="35" t="b">
        <v>0</v>
      </c>
      <c r="AM15" s="35" t="b">
        <v>0</v>
      </c>
      <c r="AN15" s="35" t="b">
        <v>0</v>
      </c>
      <c r="AO15" s="35" t="b">
        <v>1</v>
      </c>
      <c r="AP15" s="35" t="b">
        <v>0</v>
      </c>
      <c r="AQ15" s="35" t="b">
        <v>0</v>
      </c>
      <c r="AR15" s="35" t="b">
        <v>0</v>
      </c>
      <c r="AS15" s="35" t="b">
        <v>0</v>
      </c>
      <c r="AT15" s="35" t="b">
        <v>0</v>
      </c>
      <c r="AU15" s="35" t="b">
        <v>0</v>
      </c>
      <c r="AV15" s="35" t="b">
        <v>0</v>
      </c>
      <c r="AW15" s="35" t="b">
        <v>0</v>
      </c>
      <c r="AX15" s="35" t="b">
        <v>0</v>
      </c>
      <c r="AY15" s="35" t="b">
        <v>1</v>
      </c>
      <c r="AZ15" s="35" t="b">
        <v>0</v>
      </c>
      <c r="BA15" s="35" t="b">
        <v>0</v>
      </c>
      <c r="BB15" s="35" t="b">
        <v>0</v>
      </c>
      <c r="BC15" s="35" t="b">
        <v>0</v>
      </c>
      <c r="BD15" s="35" t="b">
        <v>0</v>
      </c>
      <c r="BE15" s="35" t="b">
        <v>0</v>
      </c>
      <c r="BF15" s="35" t="b">
        <v>0</v>
      </c>
      <c r="BG15" s="35" t="b">
        <v>0</v>
      </c>
      <c r="BH15" s="35" t="b">
        <v>0</v>
      </c>
      <c r="BI15" s="35" t="b">
        <v>0</v>
      </c>
      <c r="BJ15" s="35" t="b">
        <v>0</v>
      </c>
      <c r="BK15" s="35" t="b">
        <v>0</v>
      </c>
      <c r="BL15" s="35" t="b">
        <v>0</v>
      </c>
      <c r="BM15" s="35" t="b">
        <v>0</v>
      </c>
      <c r="BN15" s="35" t="b">
        <v>0</v>
      </c>
      <c r="BO15" s="35" t="b">
        <v>0</v>
      </c>
      <c r="BP15" s="35" t="b">
        <v>1</v>
      </c>
      <c r="BQ15" s="35" t="b">
        <v>0</v>
      </c>
      <c r="BR15" s="35" t="b">
        <v>0</v>
      </c>
      <c r="BS15" s="35" t="b">
        <v>0</v>
      </c>
      <c r="BT15" s="35" t="b">
        <v>0</v>
      </c>
      <c r="BU15" s="35" t="b">
        <v>0</v>
      </c>
      <c r="BV15" s="35" t="b">
        <v>0</v>
      </c>
      <c r="BW15" s="35" t="b">
        <v>0</v>
      </c>
      <c r="BX15" s="35" t="b">
        <v>0</v>
      </c>
      <c r="BY15" s="35" t="b">
        <v>0</v>
      </c>
      <c r="BZ15" s="35" t="b">
        <v>0</v>
      </c>
      <c r="CA15" s="35" t="b">
        <v>0</v>
      </c>
      <c r="CB15" s="35" t="b">
        <v>0</v>
      </c>
      <c r="CC15" s="35" t="b">
        <v>0</v>
      </c>
      <c r="CD15" s="35" t="b">
        <v>0</v>
      </c>
    </row>
    <row r="16" spans="1:82" x14ac:dyDescent="0.3">
      <c r="A16" s="35" t="s">
        <v>150</v>
      </c>
      <c r="B16" s="35" t="s">
        <v>150</v>
      </c>
      <c r="C16" s="35">
        <f t="shared" si="0"/>
        <v>4</v>
      </c>
      <c r="D16" s="35" t="b">
        <v>0</v>
      </c>
      <c r="E16" s="35" t="b">
        <v>0</v>
      </c>
      <c r="F16" s="35" t="b">
        <v>0</v>
      </c>
      <c r="G16" s="35" t="b">
        <v>0</v>
      </c>
      <c r="H16" s="35" t="b">
        <v>1</v>
      </c>
      <c r="I16" s="35" t="b">
        <v>1</v>
      </c>
      <c r="J16" s="35" t="b">
        <v>0</v>
      </c>
      <c r="K16" s="35" t="b">
        <v>0</v>
      </c>
      <c r="L16" s="35" t="b">
        <v>0</v>
      </c>
      <c r="M16" s="35" t="b">
        <v>0</v>
      </c>
      <c r="N16" s="35" t="b">
        <v>0</v>
      </c>
      <c r="O16" s="35" t="b">
        <v>0</v>
      </c>
      <c r="P16" s="35"/>
      <c r="Q16" s="35" t="b">
        <v>1</v>
      </c>
      <c r="R16" s="35" t="b">
        <v>0</v>
      </c>
      <c r="S16" s="35" t="b">
        <v>0</v>
      </c>
      <c r="T16" s="35" t="b">
        <v>0</v>
      </c>
      <c r="U16" s="35" t="b">
        <v>0</v>
      </c>
      <c r="V16" s="35" t="b">
        <v>0</v>
      </c>
      <c r="W16" s="35" t="b">
        <v>0</v>
      </c>
      <c r="X16" s="35" t="b">
        <v>0</v>
      </c>
      <c r="Y16" s="35" t="b">
        <v>0</v>
      </c>
      <c r="Z16" s="35" t="b">
        <v>0</v>
      </c>
      <c r="AA16" s="35" t="b">
        <v>0</v>
      </c>
      <c r="AB16" s="35" t="b">
        <v>0</v>
      </c>
      <c r="AC16" s="35" t="b">
        <v>0</v>
      </c>
      <c r="AD16" s="35" t="b">
        <v>0</v>
      </c>
      <c r="AE16" s="35" t="b">
        <v>0</v>
      </c>
      <c r="AF16" s="35" t="b">
        <v>0</v>
      </c>
      <c r="AG16" s="35" t="b">
        <v>0</v>
      </c>
      <c r="AH16" s="35" t="b">
        <v>0</v>
      </c>
      <c r="AI16" s="35" t="b">
        <v>0</v>
      </c>
      <c r="AJ16" s="35" t="b">
        <v>0</v>
      </c>
      <c r="AK16" s="35" t="b">
        <v>0</v>
      </c>
      <c r="AL16" s="35" t="b">
        <v>0</v>
      </c>
      <c r="AM16" s="35" t="b">
        <v>0</v>
      </c>
      <c r="AN16" s="35" t="b">
        <v>0</v>
      </c>
      <c r="AO16" s="35" t="b">
        <v>0</v>
      </c>
      <c r="AP16" s="35" t="b">
        <v>0</v>
      </c>
      <c r="AQ16" s="35" t="b">
        <v>0</v>
      </c>
      <c r="AR16" s="35" t="b">
        <v>0</v>
      </c>
      <c r="AS16" s="35" t="b">
        <v>0</v>
      </c>
      <c r="AT16" s="35" t="b">
        <v>0</v>
      </c>
      <c r="AU16" s="35" t="b">
        <v>0</v>
      </c>
      <c r="AV16" s="35" t="b">
        <v>0</v>
      </c>
      <c r="AW16" s="35" t="b">
        <v>0</v>
      </c>
      <c r="AX16" s="35" t="b">
        <v>0</v>
      </c>
      <c r="AY16" s="35" t="b">
        <v>0</v>
      </c>
      <c r="AZ16" s="35" t="b">
        <v>0</v>
      </c>
      <c r="BA16" s="35" t="b">
        <v>0</v>
      </c>
      <c r="BB16" s="35" t="b">
        <v>0</v>
      </c>
      <c r="BC16" s="35" t="b">
        <v>0</v>
      </c>
      <c r="BD16" s="35" t="b">
        <v>0</v>
      </c>
      <c r="BE16" s="35" t="b">
        <v>0</v>
      </c>
      <c r="BF16" s="35" t="b">
        <v>0</v>
      </c>
      <c r="BG16" s="35" t="b">
        <v>0</v>
      </c>
      <c r="BH16" s="35" t="b">
        <v>0</v>
      </c>
      <c r="BI16" s="35" t="b">
        <v>0</v>
      </c>
      <c r="BJ16" s="35" t="b">
        <v>0</v>
      </c>
      <c r="BK16" s="35" t="b">
        <v>0</v>
      </c>
      <c r="BL16" s="35" t="b">
        <v>0</v>
      </c>
      <c r="BM16" s="35" t="b">
        <v>1</v>
      </c>
      <c r="BN16" s="35" t="b">
        <v>0</v>
      </c>
      <c r="BO16" s="35" t="b">
        <v>0</v>
      </c>
      <c r="BP16" s="35" t="b">
        <v>0</v>
      </c>
      <c r="BQ16" s="35" t="b">
        <v>0</v>
      </c>
      <c r="BR16" s="35" t="b">
        <v>0</v>
      </c>
      <c r="BS16" s="35" t="b">
        <v>0</v>
      </c>
      <c r="BT16" s="35" t="b">
        <v>0</v>
      </c>
      <c r="BU16" s="35" t="b">
        <v>0</v>
      </c>
      <c r="BV16" s="35" t="b">
        <v>0</v>
      </c>
      <c r="BW16" s="35" t="b">
        <v>0</v>
      </c>
      <c r="BX16" s="35" t="b">
        <v>0</v>
      </c>
      <c r="BY16" s="35" t="b">
        <v>0</v>
      </c>
      <c r="BZ16" s="35" t="b">
        <v>0</v>
      </c>
      <c r="CA16" s="35" t="b">
        <v>0</v>
      </c>
      <c r="CB16" s="35" t="b">
        <v>0</v>
      </c>
      <c r="CC16" s="35" t="b">
        <v>1</v>
      </c>
      <c r="CD16" s="35" t="b">
        <v>0</v>
      </c>
    </row>
    <row r="17" spans="1:82" x14ac:dyDescent="0.3">
      <c r="A17" s="35" t="s">
        <v>151</v>
      </c>
      <c r="B17" s="35" t="s">
        <v>151</v>
      </c>
      <c r="C17" s="35">
        <f t="shared" si="0"/>
        <v>5</v>
      </c>
      <c r="D17" s="35" t="b">
        <v>0</v>
      </c>
      <c r="E17" s="35" t="b">
        <v>0</v>
      </c>
      <c r="F17" s="35" t="b">
        <v>0</v>
      </c>
      <c r="G17" s="35" t="b">
        <v>0</v>
      </c>
      <c r="H17" s="35" t="b">
        <v>0</v>
      </c>
      <c r="I17" s="35" t="b">
        <v>0</v>
      </c>
      <c r="J17" s="35" t="b">
        <v>0</v>
      </c>
      <c r="K17" s="35" t="b">
        <v>0</v>
      </c>
      <c r="L17" s="35" t="b">
        <v>0</v>
      </c>
      <c r="M17" s="35" t="b">
        <v>0</v>
      </c>
      <c r="N17" s="35" t="b">
        <v>0</v>
      </c>
      <c r="O17" s="35" t="b">
        <v>0</v>
      </c>
      <c r="P17" s="35" t="b">
        <v>1</v>
      </c>
      <c r="Q17" s="35"/>
      <c r="R17" s="35" t="b">
        <v>0</v>
      </c>
      <c r="S17" s="35" t="b">
        <v>0</v>
      </c>
      <c r="T17" s="35" t="b">
        <v>0</v>
      </c>
      <c r="U17" s="35" t="b">
        <v>0</v>
      </c>
      <c r="V17" s="35" t="b">
        <v>0</v>
      </c>
      <c r="W17" s="35" t="b">
        <v>1</v>
      </c>
      <c r="X17" s="35" t="b">
        <v>0</v>
      </c>
      <c r="Y17" s="35" t="b">
        <v>0</v>
      </c>
      <c r="Z17" s="35" t="b">
        <v>0</v>
      </c>
      <c r="AA17" s="35" t="b">
        <v>0</v>
      </c>
      <c r="AB17" s="35" t="b">
        <v>0</v>
      </c>
      <c r="AC17" s="35" t="b">
        <v>1</v>
      </c>
      <c r="AD17" s="35" t="b">
        <v>0</v>
      </c>
      <c r="AE17" s="35" t="b">
        <v>0</v>
      </c>
      <c r="AF17" s="35" t="b">
        <v>0</v>
      </c>
      <c r="AG17" s="35" t="b">
        <v>0</v>
      </c>
      <c r="AH17" s="35" t="b">
        <v>0</v>
      </c>
      <c r="AI17" s="35" t="b">
        <v>0</v>
      </c>
      <c r="AJ17" s="35" t="b">
        <v>0</v>
      </c>
      <c r="AK17" s="35" t="b">
        <v>0</v>
      </c>
      <c r="AL17" s="35" t="b">
        <v>0</v>
      </c>
      <c r="AM17" s="35" t="b">
        <v>1</v>
      </c>
      <c r="AN17" s="35" t="b">
        <v>0</v>
      </c>
      <c r="AO17" s="35" t="b">
        <v>0</v>
      </c>
      <c r="AP17" s="35" t="b">
        <v>0</v>
      </c>
      <c r="AQ17" s="35" t="b">
        <v>0</v>
      </c>
      <c r="AR17" s="35" t="b">
        <v>0</v>
      </c>
      <c r="AS17" s="35" t="b">
        <v>0</v>
      </c>
      <c r="AT17" s="35" t="b">
        <v>0</v>
      </c>
      <c r="AU17" s="35" t="b">
        <v>0</v>
      </c>
      <c r="AV17" s="35" t="b">
        <v>0</v>
      </c>
      <c r="AW17" s="35" t="b">
        <v>0</v>
      </c>
      <c r="AX17" s="35" t="b">
        <v>0</v>
      </c>
      <c r="AY17" s="35" t="b">
        <v>0</v>
      </c>
      <c r="AZ17" s="35" t="b">
        <v>0</v>
      </c>
      <c r="BA17" s="35" t="b">
        <v>0</v>
      </c>
      <c r="BB17" s="35" t="b">
        <v>0</v>
      </c>
      <c r="BC17" s="35" t="b">
        <v>0</v>
      </c>
      <c r="BD17" s="35" t="b">
        <v>1</v>
      </c>
      <c r="BE17" s="35" t="b">
        <v>0</v>
      </c>
      <c r="BF17" s="35" t="b">
        <v>0</v>
      </c>
      <c r="BG17" s="35" t="b">
        <v>0</v>
      </c>
      <c r="BH17" s="35" t="b">
        <v>0</v>
      </c>
      <c r="BI17" s="35" t="b">
        <v>0</v>
      </c>
      <c r="BJ17" s="35" t="b">
        <v>0</v>
      </c>
      <c r="BK17" s="35" t="b">
        <v>0</v>
      </c>
      <c r="BL17" s="35" t="b">
        <v>0</v>
      </c>
      <c r="BM17" s="35" t="b">
        <v>0</v>
      </c>
      <c r="BN17" s="35" t="b">
        <v>0</v>
      </c>
      <c r="BO17" s="35" t="b">
        <v>0</v>
      </c>
      <c r="BP17" s="35" t="b">
        <v>0</v>
      </c>
      <c r="BQ17" s="35" t="b">
        <v>0</v>
      </c>
      <c r="BR17" s="35" t="b">
        <v>0</v>
      </c>
      <c r="BS17" s="35" t="b">
        <v>0</v>
      </c>
      <c r="BT17" s="35" t="b">
        <v>0</v>
      </c>
      <c r="BU17" s="35" t="b">
        <v>0</v>
      </c>
      <c r="BV17" s="35" t="b">
        <v>0</v>
      </c>
      <c r="BW17" s="35" t="b">
        <v>0</v>
      </c>
      <c r="BX17" s="35" t="b">
        <v>0</v>
      </c>
      <c r="BY17" s="35" t="b">
        <v>0</v>
      </c>
      <c r="BZ17" s="35" t="b">
        <v>0</v>
      </c>
      <c r="CA17" s="35" t="b">
        <v>0</v>
      </c>
      <c r="CB17" s="35" t="b">
        <v>0</v>
      </c>
      <c r="CC17" s="35" t="b">
        <v>1</v>
      </c>
      <c r="CD17" s="35" t="b">
        <v>0</v>
      </c>
    </row>
    <row r="18" spans="1:82" x14ac:dyDescent="0.3">
      <c r="A18" s="35" t="s">
        <v>133</v>
      </c>
      <c r="B18" s="35" t="s">
        <v>133</v>
      </c>
      <c r="C18" s="35">
        <f t="shared" si="0"/>
        <v>4</v>
      </c>
      <c r="D18" s="35" t="b">
        <v>0</v>
      </c>
      <c r="E18" s="35" t="b">
        <v>0</v>
      </c>
      <c r="F18" s="35" t="b">
        <v>0</v>
      </c>
      <c r="G18" s="35" t="b">
        <v>0</v>
      </c>
      <c r="H18" s="35" t="b">
        <v>0</v>
      </c>
      <c r="I18" s="35" t="b">
        <v>0</v>
      </c>
      <c r="J18" s="35" t="b">
        <v>0</v>
      </c>
      <c r="K18" s="35" t="b">
        <v>0</v>
      </c>
      <c r="L18" s="35" t="b">
        <v>0</v>
      </c>
      <c r="M18" s="35" t="b">
        <v>0</v>
      </c>
      <c r="N18" s="35" t="b">
        <v>0</v>
      </c>
      <c r="O18" s="35" t="b">
        <v>0</v>
      </c>
      <c r="P18" s="35" t="b">
        <v>0</v>
      </c>
      <c r="Q18" s="35" t="b">
        <v>0</v>
      </c>
      <c r="R18" s="35"/>
      <c r="S18" s="35" t="b">
        <v>0</v>
      </c>
      <c r="T18" s="35" t="b">
        <v>0</v>
      </c>
      <c r="U18" s="35" t="b">
        <v>0</v>
      </c>
      <c r="V18" s="35" t="b">
        <v>0</v>
      </c>
      <c r="W18" s="35" t="b">
        <v>0</v>
      </c>
      <c r="X18" s="35" t="b">
        <v>0</v>
      </c>
      <c r="Y18" s="35" t="b">
        <v>0</v>
      </c>
      <c r="Z18" s="35" t="b">
        <v>0</v>
      </c>
      <c r="AA18" s="35" t="b">
        <v>0</v>
      </c>
      <c r="AB18" s="35" t="b">
        <v>0</v>
      </c>
      <c r="AC18" s="35" t="b">
        <v>0</v>
      </c>
      <c r="AD18" s="35" t="b">
        <v>0</v>
      </c>
      <c r="AE18" s="35" t="b">
        <v>0</v>
      </c>
      <c r="AF18" s="35" t="b">
        <v>1</v>
      </c>
      <c r="AG18" s="35" t="b">
        <v>0</v>
      </c>
      <c r="AH18" s="35" t="b">
        <v>0</v>
      </c>
      <c r="AI18" s="35" t="b">
        <v>0</v>
      </c>
      <c r="AJ18" s="35" t="b">
        <v>0</v>
      </c>
      <c r="AK18" s="35" t="b">
        <v>0</v>
      </c>
      <c r="AL18" s="35" t="b">
        <v>0</v>
      </c>
      <c r="AM18" s="35" t="b">
        <v>0</v>
      </c>
      <c r="AN18" s="35" t="b">
        <v>0</v>
      </c>
      <c r="AO18" s="35" t="b">
        <v>1</v>
      </c>
      <c r="AP18" s="35" t="b">
        <v>0</v>
      </c>
      <c r="AQ18" s="35" t="b">
        <v>0</v>
      </c>
      <c r="AR18" s="35" t="b">
        <v>0</v>
      </c>
      <c r="AS18" s="35" t="b">
        <v>0</v>
      </c>
      <c r="AT18" s="35" t="b">
        <v>0</v>
      </c>
      <c r="AU18" s="35" t="b">
        <v>0</v>
      </c>
      <c r="AV18" s="35" t="b">
        <v>0</v>
      </c>
      <c r="AW18" s="35" t="b">
        <v>0</v>
      </c>
      <c r="AX18" s="35" t="b">
        <v>0</v>
      </c>
      <c r="AY18" s="35" t="b">
        <v>0</v>
      </c>
      <c r="AZ18" s="35" t="b">
        <v>0</v>
      </c>
      <c r="BA18" s="35" t="b">
        <v>0</v>
      </c>
      <c r="BB18" s="35" t="b">
        <v>0</v>
      </c>
      <c r="BC18" s="35" t="b">
        <v>0</v>
      </c>
      <c r="BD18" s="35" t="b">
        <v>0</v>
      </c>
      <c r="BE18" s="35" t="b">
        <v>1</v>
      </c>
      <c r="BF18" s="35" t="b">
        <v>0</v>
      </c>
      <c r="BG18" s="35" t="b">
        <v>0</v>
      </c>
      <c r="BH18" s="35" t="b">
        <v>0</v>
      </c>
      <c r="BI18" s="35" t="b">
        <v>1</v>
      </c>
      <c r="BJ18" s="35" t="b">
        <v>0</v>
      </c>
      <c r="BK18" s="35" t="b">
        <v>1</v>
      </c>
      <c r="BL18" s="35" t="b">
        <v>0</v>
      </c>
      <c r="BM18" s="35" t="b">
        <v>0</v>
      </c>
      <c r="BN18" s="35" t="b">
        <v>0</v>
      </c>
      <c r="BO18" s="35" t="b">
        <v>0</v>
      </c>
      <c r="BP18" s="35" t="b">
        <v>0</v>
      </c>
      <c r="BQ18" s="35" t="b">
        <v>0</v>
      </c>
      <c r="BR18" s="35" t="b">
        <v>0</v>
      </c>
      <c r="BS18" s="35" t="b">
        <v>0</v>
      </c>
      <c r="BT18" s="35" t="b">
        <v>0</v>
      </c>
      <c r="BU18" s="35" t="b">
        <v>0</v>
      </c>
      <c r="BV18" s="35" t="b">
        <v>0</v>
      </c>
      <c r="BW18" s="35" t="b">
        <v>0</v>
      </c>
      <c r="BX18" s="35" t="b">
        <v>0</v>
      </c>
      <c r="BY18" s="35" t="b">
        <v>0</v>
      </c>
      <c r="BZ18" s="35" t="b">
        <v>0</v>
      </c>
      <c r="CA18" s="35" t="b">
        <v>0</v>
      </c>
      <c r="CB18" s="35" t="b">
        <v>0</v>
      </c>
      <c r="CC18" s="35" t="b">
        <v>0</v>
      </c>
      <c r="CD18" s="35" t="b">
        <v>0</v>
      </c>
    </row>
    <row r="19" spans="1:82" x14ac:dyDescent="0.3">
      <c r="A19" s="35" t="s">
        <v>166</v>
      </c>
      <c r="B19" s="35" t="s">
        <v>166</v>
      </c>
      <c r="C19" s="35">
        <f t="shared" si="0"/>
        <v>2</v>
      </c>
      <c r="D19" s="35" t="b">
        <v>0</v>
      </c>
      <c r="E19" s="35" t="b">
        <v>0</v>
      </c>
      <c r="F19" s="35" t="b">
        <v>0</v>
      </c>
      <c r="G19" s="35" t="b">
        <v>0</v>
      </c>
      <c r="H19" s="35" t="b">
        <v>0</v>
      </c>
      <c r="I19" s="35" t="b">
        <v>0</v>
      </c>
      <c r="J19" s="35" t="b">
        <v>0</v>
      </c>
      <c r="K19" s="35" t="b">
        <v>0</v>
      </c>
      <c r="L19" s="35" t="b">
        <v>0</v>
      </c>
      <c r="M19" s="35" t="b">
        <v>0</v>
      </c>
      <c r="N19" s="35" t="b">
        <v>0</v>
      </c>
      <c r="O19" s="35" t="b">
        <v>0</v>
      </c>
      <c r="P19" s="35" t="b">
        <v>0</v>
      </c>
      <c r="Q19" s="35" t="b">
        <v>0</v>
      </c>
      <c r="R19" s="35" t="b">
        <v>0</v>
      </c>
      <c r="S19" s="35"/>
      <c r="T19" s="35" t="b">
        <v>1</v>
      </c>
      <c r="U19" s="35" t="b">
        <v>0</v>
      </c>
      <c r="V19" s="35" t="b">
        <v>0</v>
      </c>
      <c r="W19" s="35" t="b">
        <v>0</v>
      </c>
      <c r="X19" s="35" t="b">
        <v>0</v>
      </c>
      <c r="Y19" s="35" t="b">
        <v>0</v>
      </c>
      <c r="Z19" s="35" t="b">
        <v>0</v>
      </c>
      <c r="AA19" s="35" t="b">
        <v>1</v>
      </c>
      <c r="AB19" s="35" t="b">
        <v>0</v>
      </c>
      <c r="AC19" s="35" t="b">
        <v>0</v>
      </c>
      <c r="AD19" s="35" t="b">
        <v>0</v>
      </c>
      <c r="AE19" s="35" t="b">
        <v>0</v>
      </c>
      <c r="AF19" s="35" t="b">
        <v>0</v>
      </c>
      <c r="AG19" s="35" t="b">
        <v>0</v>
      </c>
      <c r="AH19" s="35" t="b">
        <v>0</v>
      </c>
      <c r="AI19" s="35" t="b">
        <v>0</v>
      </c>
      <c r="AJ19" s="35" t="b">
        <v>0</v>
      </c>
      <c r="AK19" s="35" t="b">
        <v>0</v>
      </c>
      <c r="AL19" s="35" t="b">
        <v>0</v>
      </c>
      <c r="AM19" s="35" t="b">
        <v>0</v>
      </c>
      <c r="AN19" s="35" t="b">
        <v>0</v>
      </c>
      <c r="AO19" s="35" t="b">
        <v>0</v>
      </c>
      <c r="AP19" s="35" t="b">
        <v>0</v>
      </c>
      <c r="AQ19" s="35" t="b">
        <v>0</v>
      </c>
      <c r="AR19" s="35" t="b">
        <v>0</v>
      </c>
      <c r="AS19" s="35" t="b">
        <v>0</v>
      </c>
      <c r="AT19" s="35" t="b">
        <v>0</v>
      </c>
      <c r="AU19" s="35" t="b">
        <v>0</v>
      </c>
      <c r="AV19" s="35" t="b">
        <v>0</v>
      </c>
      <c r="AW19" s="35" t="b">
        <v>0</v>
      </c>
      <c r="AX19" s="35" t="b">
        <v>0</v>
      </c>
      <c r="AY19" s="35" t="b">
        <v>0</v>
      </c>
      <c r="AZ19" s="35" t="b">
        <v>0</v>
      </c>
      <c r="BA19" s="35" t="b">
        <v>0</v>
      </c>
      <c r="BB19" s="35" t="b">
        <v>0</v>
      </c>
      <c r="BC19" s="35" t="b">
        <v>0</v>
      </c>
      <c r="BD19" s="35" t="b">
        <v>0</v>
      </c>
      <c r="BE19" s="35" t="b">
        <v>0</v>
      </c>
      <c r="BF19" s="35" t="b">
        <v>0</v>
      </c>
      <c r="BG19" s="35" t="b">
        <v>0</v>
      </c>
      <c r="BH19" s="35" t="b">
        <v>0</v>
      </c>
      <c r="BI19" s="35" t="b">
        <v>0</v>
      </c>
      <c r="BJ19" s="35" t="b">
        <v>0</v>
      </c>
      <c r="BK19" s="35" t="b">
        <v>0</v>
      </c>
      <c r="BL19" s="35" t="b">
        <v>0</v>
      </c>
      <c r="BM19" s="35" t="b">
        <v>0</v>
      </c>
      <c r="BN19" s="35" t="b">
        <v>0</v>
      </c>
      <c r="BO19" s="35" t="b">
        <v>0</v>
      </c>
      <c r="BP19" s="35" t="b">
        <v>0</v>
      </c>
      <c r="BQ19" s="35" t="b">
        <v>1</v>
      </c>
      <c r="BR19" s="35" t="b">
        <v>0</v>
      </c>
      <c r="BS19" s="35" t="b">
        <v>0</v>
      </c>
      <c r="BT19" s="35" t="b">
        <v>0</v>
      </c>
      <c r="BU19" s="35" t="b">
        <v>0</v>
      </c>
      <c r="BV19" s="35" t="b">
        <v>0</v>
      </c>
      <c r="BW19" s="35" t="b">
        <v>0</v>
      </c>
      <c r="BX19" s="35" t="b">
        <v>0</v>
      </c>
      <c r="BY19" s="35" t="b">
        <v>0</v>
      </c>
      <c r="BZ19" s="35" t="b">
        <v>0</v>
      </c>
      <c r="CA19" s="35" t="b">
        <v>0</v>
      </c>
      <c r="CB19" s="35" t="b">
        <v>0</v>
      </c>
      <c r="CC19" s="35" t="b">
        <v>0</v>
      </c>
      <c r="CD19" s="35" t="b">
        <v>0</v>
      </c>
    </row>
    <row r="20" spans="1:82" x14ac:dyDescent="0.3">
      <c r="A20" s="35" t="s">
        <v>167</v>
      </c>
      <c r="B20" s="35" t="s">
        <v>167</v>
      </c>
      <c r="C20" s="35">
        <f t="shared" si="0"/>
        <v>4</v>
      </c>
      <c r="D20" s="35" t="b">
        <v>0</v>
      </c>
      <c r="E20" s="35" t="b">
        <v>1</v>
      </c>
      <c r="F20" s="35" t="b">
        <v>0</v>
      </c>
      <c r="G20" s="35" t="b">
        <v>0</v>
      </c>
      <c r="H20" s="35" t="b">
        <v>0</v>
      </c>
      <c r="I20" s="35" t="b">
        <v>0</v>
      </c>
      <c r="J20" s="35" t="b">
        <v>0</v>
      </c>
      <c r="K20" s="35" t="b">
        <v>0</v>
      </c>
      <c r="L20" s="35" t="b">
        <v>0</v>
      </c>
      <c r="M20" s="35" t="b">
        <v>0</v>
      </c>
      <c r="N20" s="35" t="b">
        <v>0</v>
      </c>
      <c r="O20" s="35" t="b">
        <v>0</v>
      </c>
      <c r="P20" s="35" t="b">
        <v>0</v>
      </c>
      <c r="Q20" s="35" t="b">
        <v>0</v>
      </c>
      <c r="R20" s="35" t="b">
        <v>0</v>
      </c>
      <c r="S20" s="35" t="b">
        <v>1</v>
      </c>
      <c r="T20" s="35"/>
      <c r="U20" s="35" t="b">
        <v>0</v>
      </c>
      <c r="V20" s="35" t="b">
        <v>0</v>
      </c>
      <c r="W20" s="35" t="b">
        <v>0</v>
      </c>
      <c r="X20" s="35" t="b">
        <v>0</v>
      </c>
      <c r="Y20" s="35" t="b">
        <v>0</v>
      </c>
      <c r="Z20" s="35" t="b">
        <v>0</v>
      </c>
      <c r="AA20" s="35" t="b">
        <v>1</v>
      </c>
      <c r="AB20" s="35" t="b">
        <v>0</v>
      </c>
      <c r="AC20" s="35" t="b">
        <v>0</v>
      </c>
      <c r="AD20" s="35" t="b">
        <v>0</v>
      </c>
      <c r="AE20" s="35" t="b">
        <v>0</v>
      </c>
      <c r="AF20" s="35" t="b">
        <v>0</v>
      </c>
      <c r="AG20" s="35" t="b">
        <v>0</v>
      </c>
      <c r="AH20" s="35" t="b">
        <v>0</v>
      </c>
      <c r="AI20" s="35" t="b">
        <v>0</v>
      </c>
      <c r="AJ20" s="35" t="b">
        <v>0</v>
      </c>
      <c r="AK20" s="35" t="b">
        <v>0</v>
      </c>
      <c r="AL20" s="35" t="b">
        <v>0</v>
      </c>
      <c r="AM20" s="35" t="b">
        <v>0</v>
      </c>
      <c r="AN20" s="35" t="b">
        <v>0</v>
      </c>
      <c r="AO20" s="35" t="b">
        <v>0</v>
      </c>
      <c r="AP20" s="35" t="b">
        <v>0</v>
      </c>
      <c r="AQ20" s="35" t="b">
        <v>0</v>
      </c>
      <c r="AR20" s="35" t="b">
        <v>0</v>
      </c>
      <c r="AS20" s="35" t="b">
        <v>0</v>
      </c>
      <c r="AT20" s="35" t="b">
        <v>0</v>
      </c>
      <c r="AU20" s="35" t="b">
        <v>0</v>
      </c>
      <c r="AV20" s="35" t="b">
        <v>0</v>
      </c>
      <c r="AW20" s="35" t="b">
        <v>0</v>
      </c>
      <c r="AX20" s="35" t="b">
        <v>0</v>
      </c>
      <c r="AY20" s="35" t="b">
        <v>0</v>
      </c>
      <c r="AZ20" s="35" t="b">
        <v>0</v>
      </c>
      <c r="BA20" s="35" t="b">
        <v>0</v>
      </c>
      <c r="BB20" s="35" t="b">
        <v>0</v>
      </c>
      <c r="BC20" s="35" t="b">
        <v>0</v>
      </c>
      <c r="BD20" s="35" t="b">
        <v>0</v>
      </c>
      <c r="BE20" s="35" t="b">
        <v>0</v>
      </c>
      <c r="BF20" s="35" t="b">
        <v>1</v>
      </c>
      <c r="BG20" s="35" t="b">
        <v>0</v>
      </c>
      <c r="BH20" s="35" t="b">
        <v>0</v>
      </c>
      <c r="BI20" s="35" t="b">
        <v>0</v>
      </c>
      <c r="BJ20" s="35" t="b">
        <v>0</v>
      </c>
      <c r="BK20" s="35" t="b">
        <v>1</v>
      </c>
      <c r="BL20" s="35" t="b">
        <v>0</v>
      </c>
      <c r="BM20" s="35" t="b">
        <v>0</v>
      </c>
      <c r="BN20" s="35" t="b">
        <v>0</v>
      </c>
      <c r="BO20" s="35" t="b">
        <v>0</v>
      </c>
      <c r="BP20" s="35" t="b">
        <v>0</v>
      </c>
      <c r="BQ20" s="35" t="b">
        <v>0</v>
      </c>
      <c r="BR20" s="35" t="b">
        <v>0</v>
      </c>
      <c r="BS20" s="35" t="b">
        <v>0</v>
      </c>
      <c r="BT20" s="35" t="b">
        <v>0</v>
      </c>
      <c r="BU20" s="35" t="b">
        <v>0</v>
      </c>
      <c r="BV20" s="35" t="b">
        <v>0</v>
      </c>
      <c r="BW20" s="35" t="b">
        <v>0</v>
      </c>
      <c r="BX20" s="35" t="b">
        <v>0</v>
      </c>
      <c r="BY20" s="35" t="b">
        <v>0</v>
      </c>
      <c r="BZ20" s="35" t="b">
        <v>0</v>
      </c>
      <c r="CA20" s="35" t="b">
        <v>0</v>
      </c>
      <c r="CB20" s="35" t="b">
        <v>0</v>
      </c>
      <c r="CC20" s="35" t="b">
        <v>0</v>
      </c>
      <c r="CD20" s="35" t="b">
        <v>0</v>
      </c>
    </row>
    <row r="21" spans="1:82" x14ac:dyDescent="0.3">
      <c r="A21" s="35" t="s">
        <v>134</v>
      </c>
      <c r="B21" s="35" t="s">
        <v>134</v>
      </c>
      <c r="C21" s="35">
        <f t="shared" si="0"/>
        <v>4</v>
      </c>
      <c r="D21" s="35" t="b">
        <v>0</v>
      </c>
      <c r="E21" s="35" t="b">
        <v>0</v>
      </c>
      <c r="F21" s="35" t="b">
        <v>0</v>
      </c>
      <c r="G21" s="35" t="b">
        <v>1</v>
      </c>
      <c r="H21" s="35" t="b">
        <v>0</v>
      </c>
      <c r="I21" s="35" t="b">
        <v>0</v>
      </c>
      <c r="J21" s="35" t="b">
        <v>0</v>
      </c>
      <c r="K21" s="35" t="b">
        <v>0</v>
      </c>
      <c r="L21" s="35" t="b">
        <v>0</v>
      </c>
      <c r="M21" s="35" t="b">
        <v>0</v>
      </c>
      <c r="N21" s="35" t="b">
        <v>0</v>
      </c>
      <c r="O21" s="35" t="b">
        <v>0</v>
      </c>
      <c r="P21" s="35" t="b">
        <v>0</v>
      </c>
      <c r="Q21" s="35" t="b">
        <v>0</v>
      </c>
      <c r="R21" s="35" t="b">
        <v>0</v>
      </c>
      <c r="S21" s="35" t="b">
        <v>0</v>
      </c>
      <c r="T21" s="35" t="b">
        <v>0</v>
      </c>
      <c r="U21" s="35"/>
      <c r="V21" s="35" t="b">
        <v>0</v>
      </c>
      <c r="W21" s="35" t="b">
        <v>0</v>
      </c>
      <c r="X21" s="35" t="b">
        <v>0</v>
      </c>
      <c r="Y21" s="35" t="b">
        <v>0</v>
      </c>
      <c r="Z21" s="35" t="b">
        <v>0</v>
      </c>
      <c r="AA21" s="35" t="b">
        <v>0</v>
      </c>
      <c r="AB21" s="35" t="b">
        <v>0</v>
      </c>
      <c r="AC21" s="35" t="b">
        <v>0</v>
      </c>
      <c r="AD21" s="35" t="b">
        <v>0</v>
      </c>
      <c r="AE21" s="35" t="b">
        <v>0</v>
      </c>
      <c r="AF21" s="35" t="b">
        <v>0</v>
      </c>
      <c r="AG21" s="35" t="b">
        <v>0</v>
      </c>
      <c r="AH21" s="35" t="b">
        <v>0</v>
      </c>
      <c r="AI21" s="35" t="b">
        <v>0</v>
      </c>
      <c r="AJ21" s="35" t="b">
        <v>1</v>
      </c>
      <c r="AK21" s="35" t="b">
        <v>0</v>
      </c>
      <c r="AL21" s="35" t="b">
        <v>0</v>
      </c>
      <c r="AM21" s="35" t="b">
        <v>0</v>
      </c>
      <c r="AN21" s="35" t="b">
        <v>0</v>
      </c>
      <c r="AO21" s="35" t="b">
        <v>0</v>
      </c>
      <c r="AP21" s="35" t="b">
        <v>0</v>
      </c>
      <c r="AQ21" s="35" t="b">
        <v>0</v>
      </c>
      <c r="AR21" s="35" t="b">
        <v>0</v>
      </c>
      <c r="AS21" s="35" t="b">
        <v>0</v>
      </c>
      <c r="AT21" s="35" t="b">
        <v>0</v>
      </c>
      <c r="AU21" s="35" t="b">
        <v>0</v>
      </c>
      <c r="AV21" s="35" t="b">
        <v>0</v>
      </c>
      <c r="AW21" s="35" t="b">
        <v>0</v>
      </c>
      <c r="AX21" s="35" t="b">
        <v>0</v>
      </c>
      <c r="AY21" s="35" t="b">
        <v>0</v>
      </c>
      <c r="AZ21" s="35" t="b">
        <v>0</v>
      </c>
      <c r="BA21" s="35" t="b">
        <v>0</v>
      </c>
      <c r="BB21" s="35" t="b">
        <v>0</v>
      </c>
      <c r="BC21" s="35" t="b">
        <v>1</v>
      </c>
      <c r="BD21" s="35" t="b">
        <v>0</v>
      </c>
      <c r="BE21" s="35" t="b">
        <v>0</v>
      </c>
      <c r="BF21" s="35" t="b">
        <v>0</v>
      </c>
      <c r="BG21" s="35" t="b">
        <v>0</v>
      </c>
      <c r="BH21" s="35" t="b">
        <v>0</v>
      </c>
      <c r="BI21" s="35" t="b">
        <v>0</v>
      </c>
      <c r="BJ21" s="35" t="b">
        <v>0</v>
      </c>
      <c r="BK21" s="35" t="b">
        <v>0</v>
      </c>
      <c r="BL21" s="35" t="b">
        <v>0</v>
      </c>
      <c r="BM21" s="35" t="b">
        <v>0</v>
      </c>
      <c r="BN21" s="35" t="b">
        <v>0</v>
      </c>
      <c r="BO21" s="35" t="b">
        <v>0</v>
      </c>
      <c r="BP21" s="35" t="b">
        <v>0</v>
      </c>
      <c r="BQ21" s="35" t="b">
        <v>0</v>
      </c>
      <c r="BR21" s="35" t="b">
        <v>0</v>
      </c>
      <c r="BS21" s="35" t="b">
        <v>0</v>
      </c>
      <c r="BT21" s="35" t="b">
        <v>0</v>
      </c>
      <c r="BU21" s="35" t="b">
        <v>0</v>
      </c>
      <c r="BV21" s="35" t="b">
        <v>0</v>
      </c>
      <c r="BW21" s="35" t="b">
        <v>0</v>
      </c>
      <c r="BX21" s="35" t="b">
        <v>0</v>
      </c>
      <c r="BY21" s="35" t="b">
        <v>1</v>
      </c>
      <c r="BZ21" s="35" t="b">
        <v>0</v>
      </c>
      <c r="CA21" s="35" t="b">
        <v>0</v>
      </c>
      <c r="CB21" s="35" t="b">
        <v>1</v>
      </c>
      <c r="CC21" s="35" t="b">
        <v>0</v>
      </c>
      <c r="CD21" s="35" t="b">
        <v>0</v>
      </c>
    </row>
    <row r="22" spans="1:82" x14ac:dyDescent="0.3">
      <c r="A22" s="35" t="s">
        <v>152</v>
      </c>
      <c r="B22" s="35" t="s">
        <v>152</v>
      </c>
      <c r="C22" s="35">
        <f t="shared" si="0"/>
        <v>2</v>
      </c>
      <c r="D22" s="35" t="b">
        <v>1</v>
      </c>
      <c r="E22" s="35" t="b">
        <v>0</v>
      </c>
      <c r="F22" s="35" t="b">
        <v>0</v>
      </c>
      <c r="G22" s="35" t="b">
        <v>0</v>
      </c>
      <c r="H22" s="35" t="b">
        <v>0</v>
      </c>
      <c r="I22" s="35" t="b">
        <v>0</v>
      </c>
      <c r="J22" s="35" t="b">
        <v>0</v>
      </c>
      <c r="K22" s="35" t="b">
        <v>0</v>
      </c>
      <c r="L22" s="35" t="b">
        <v>0</v>
      </c>
      <c r="M22" s="35" t="b">
        <v>0</v>
      </c>
      <c r="N22" s="35" t="b">
        <v>0</v>
      </c>
      <c r="O22" s="35" t="b">
        <v>0</v>
      </c>
      <c r="P22" s="35" t="b">
        <v>0</v>
      </c>
      <c r="Q22" s="35" t="b">
        <v>0</v>
      </c>
      <c r="R22" s="35" t="b">
        <v>0</v>
      </c>
      <c r="S22" s="35" t="b">
        <v>0</v>
      </c>
      <c r="T22" s="35" t="b">
        <v>0</v>
      </c>
      <c r="U22" s="35" t="b">
        <v>0</v>
      </c>
      <c r="V22" s="35"/>
      <c r="W22" s="35" t="b">
        <v>0</v>
      </c>
      <c r="X22" s="35" t="b">
        <v>0</v>
      </c>
      <c r="Y22" s="35" t="b">
        <v>0</v>
      </c>
      <c r="Z22" s="35" t="b">
        <v>0</v>
      </c>
      <c r="AA22" s="35" t="b">
        <v>0</v>
      </c>
      <c r="AB22" s="35" t="b">
        <v>0</v>
      </c>
      <c r="AC22" s="35" t="b">
        <v>0</v>
      </c>
      <c r="AD22" s="35" t="b">
        <v>0</v>
      </c>
      <c r="AE22" s="35" t="b">
        <v>0</v>
      </c>
      <c r="AF22" s="35" t="b">
        <v>0</v>
      </c>
      <c r="AG22" s="35" t="b">
        <v>0</v>
      </c>
      <c r="AH22" s="35" t="b">
        <v>0</v>
      </c>
      <c r="AI22" s="35" t="b">
        <v>0</v>
      </c>
      <c r="AJ22" s="35" t="b">
        <v>0</v>
      </c>
      <c r="AK22" s="35" t="b">
        <v>0</v>
      </c>
      <c r="AL22" s="35" t="b">
        <v>0</v>
      </c>
      <c r="AM22" s="35" t="b">
        <v>0</v>
      </c>
      <c r="AN22" s="35" t="b">
        <v>0</v>
      </c>
      <c r="AO22" s="35" t="b">
        <v>0</v>
      </c>
      <c r="AP22" s="35" t="b">
        <v>0</v>
      </c>
      <c r="AQ22" s="35" t="b">
        <v>0</v>
      </c>
      <c r="AR22" s="35" t="b">
        <v>0</v>
      </c>
      <c r="AS22" s="35" t="b">
        <v>0</v>
      </c>
      <c r="AT22" s="35" t="b">
        <v>0</v>
      </c>
      <c r="AU22" s="35" t="b">
        <v>0</v>
      </c>
      <c r="AV22" s="35" t="b">
        <v>0</v>
      </c>
      <c r="AW22" s="35" t="b">
        <v>0</v>
      </c>
      <c r="AX22" s="35" t="b">
        <v>0</v>
      </c>
      <c r="AY22" s="35" t="b">
        <v>0</v>
      </c>
      <c r="AZ22" s="35" t="b">
        <v>0</v>
      </c>
      <c r="BA22" s="35" t="b">
        <v>0</v>
      </c>
      <c r="BB22" s="35" t="b">
        <v>0</v>
      </c>
      <c r="BC22" s="35" t="b">
        <v>0</v>
      </c>
      <c r="BD22" s="35" t="b">
        <v>0</v>
      </c>
      <c r="BE22" s="35" t="b">
        <v>0</v>
      </c>
      <c r="BF22" s="35" t="b">
        <v>0</v>
      </c>
      <c r="BG22" s="35" t="b">
        <v>0</v>
      </c>
      <c r="BH22" s="35" t="b">
        <v>0</v>
      </c>
      <c r="BI22" s="35" t="b">
        <v>0</v>
      </c>
      <c r="BJ22" s="35" t="b">
        <v>0</v>
      </c>
      <c r="BK22" s="35" t="b">
        <v>0</v>
      </c>
      <c r="BL22" s="35" t="b">
        <v>0</v>
      </c>
      <c r="BM22" s="35" t="b">
        <v>0</v>
      </c>
      <c r="BN22" s="35" t="b">
        <v>0</v>
      </c>
      <c r="BO22" s="35" t="b">
        <v>0</v>
      </c>
      <c r="BP22" s="35" t="b">
        <v>0</v>
      </c>
      <c r="BQ22" s="35" t="b">
        <v>0</v>
      </c>
      <c r="BR22" s="35" t="b">
        <v>0</v>
      </c>
      <c r="BS22" s="35" t="b">
        <v>1</v>
      </c>
      <c r="BT22" s="35" t="b">
        <v>0</v>
      </c>
      <c r="BU22" s="35" t="b">
        <v>0</v>
      </c>
      <c r="BV22" s="35" t="b">
        <v>1</v>
      </c>
      <c r="BW22" s="35" t="b">
        <v>0</v>
      </c>
      <c r="BX22" s="35" t="b">
        <v>0</v>
      </c>
      <c r="BY22" s="35" t="b">
        <v>0</v>
      </c>
      <c r="BZ22" s="35" t="b">
        <v>0</v>
      </c>
      <c r="CA22" s="35" t="b">
        <v>0</v>
      </c>
      <c r="CB22" s="35" t="b">
        <v>0</v>
      </c>
      <c r="CC22" s="35" t="b">
        <v>0</v>
      </c>
      <c r="CD22" s="35" t="b">
        <v>0</v>
      </c>
    </row>
    <row r="23" spans="1:82" x14ac:dyDescent="0.3">
      <c r="A23" s="35" t="s">
        <v>153</v>
      </c>
      <c r="B23" s="35" t="s">
        <v>153</v>
      </c>
      <c r="C23" s="35">
        <f t="shared" si="0"/>
        <v>3</v>
      </c>
      <c r="D23" s="35" t="b">
        <v>0</v>
      </c>
      <c r="E23" s="35" t="b">
        <v>0</v>
      </c>
      <c r="F23" s="35" t="b">
        <v>0</v>
      </c>
      <c r="G23" s="35" t="b">
        <v>0</v>
      </c>
      <c r="H23" s="35" t="b">
        <v>0</v>
      </c>
      <c r="I23" s="35" t="b">
        <v>0</v>
      </c>
      <c r="J23" s="35" t="b">
        <v>0</v>
      </c>
      <c r="K23" s="35" t="b">
        <v>0</v>
      </c>
      <c r="L23" s="35" t="b">
        <v>0</v>
      </c>
      <c r="M23" s="35" t="b">
        <v>0</v>
      </c>
      <c r="N23" s="35" t="b">
        <v>0</v>
      </c>
      <c r="O23" s="35" t="b">
        <v>0</v>
      </c>
      <c r="P23" s="35" t="b">
        <v>0</v>
      </c>
      <c r="Q23" s="35" t="b">
        <v>1</v>
      </c>
      <c r="R23" s="35" t="b">
        <v>0</v>
      </c>
      <c r="S23" s="35" t="b">
        <v>0</v>
      </c>
      <c r="T23" s="35" t="b">
        <v>0</v>
      </c>
      <c r="U23" s="35" t="b">
        <v>0</v>
      </c>
      <c r="V23" s="35" t="b">
        <v>0</v>
      </c>
      <c r="W23" s="35"/>
      <c r="X23" s="35" t="b">
        <v>0</v>
      </c>
      <c r="Y23" s="35" t="b">
        <v>0</v>
      </c>
      <c r="Z23" s="35" t="b">
        <v>0</v>
      </c>
      <c r="AA23" s="35" t="b">
        <v>0</v>
      </c>
      <c r="AB23" s="35" t="b">
        <v>0</v>
      </c>
      <c r="AC23" s="35" t="b">
        <v>1</v>
      </c>
      <c r="AD23" s="35" t="b">
        <v>0</v>
      </c>
      <c r="AE23" s="35" t="b">
        <v>0</v>
      </c>
      <c r="AF23" s="35" t="b">
        <v>0</v>
      </c>
      <c r="AG23" s="35" t="b">
        <v>0</v>
      </c>
      <c r="AH23" s="35" t="b">
        <v>0</v>
      </c>
      <c r="AI23" s="35" t="b">
        <v>0</v>
      </c>
      <c r="AJ23" s="35" t="b">
        <v>0</v>
      </c>
      <c r="AK23" s="35" t="b">
        <v>0</v>
      </c>
      <c r="AL23" s="35" t="b">
        <v>1</v>
      </c>
      <c r="AM23" s="35" t="b">
        <v>0</v>
      </c>
      <c r="AN23" s="35" t="b">
        <v>0</v>
      </c>
      <c r="AO23" s="35" t="b">
        <v>0</v>
      </c>
      <c r="AP23" s="35" t="b">
        <v>0</v>
      </c>
      <c r="AQ23" s="35" t="b">
        <v>0</v>
      </c>
      <c r="AR23" s="35" t="b">
        <v>0</v>
      </c>
      <c r="AS23" s="35" t="b">
        <v>0</v>
      </c>
      <c r="AT23" s="35" t="b">
        <v>0</v>
      </c>
      <c r="AU23" s="35" t="b">
        <v>0</v>
      </c>
      <c r="AV23" s="35" t="b">
        <v>0</v>
      </c>
      <c r="AW23" s="35" t="b">
        <v>0</v>
      </c>
      <c r="AX23" s="35" t="b">
        <v>0</v>
      </c>
      <c r="AY23" s="35" t="b">
        <v>0</v>
      </c>
      <c r="AZ23" s="35" t="b">
        <v>0</v>
      </c>
      <c r="BA23" s="35" t="b">
        <v>0</v>
      </c>
      <c r="BB23" s="35" t="b">
        <v>0</v>
      </c>
      <c r="BC23" s="35" t="b">
        <v>0</v>
      </c>
      <c r="BD23" s="35" t="b">
        <v>1</v>
      </c>
      <c r="BE23" s="35" t="b">
        <v>0</v>
      </c>
      <c r="BF23" s="35" t="b">
        <v>0</v>
      </c>
      <c r="BG23" s="35" t="b">
        <v>0</v>
      </c>
      <c r="BH23" s="35" t="b">
        <v>0</v>
      </c>
      <c r="BI23" s="35" t="b">
        <v>0</v>
      </c>
      <c r="BJ23" s="35" t="b">
        <v>0</v>
      </c>
      <c r="BK23" s="35" t="b">
        <v>0</v>
      </c>
      <c r="BL23" s="35" t="b">
        <v>0</v>
      </c>
      <c r="BM23" s="35" t="b">
        <v>0</v>
      </c>
      <c r="BN23" s="35" t="b">
        <v>0</v>
      </c>
      <c r="BO23" s="35" t="b">
        <v>0</v>
      </c>
      <c r="BP23" s="35" t="b">
        <v>0</v>
      </c>
      <c r="BQ23" s="35" t="b">
        <v>0</v>
      </c>
      <c r="BR23" s="35" t="b">
        <v>0</v>
      </c>
      <c r="BS23" s="35" t="b">
        <v>0</v>
      </c>
      <c r="BT23" s="35" t="b">
        <v>0</v>
      </c>
      <c r="BU23" s="35" t="b">
        <v>0</v>
      </c>
      <c r="BV23" s="35" t="b">
        <v>0</v>
      </c>
      <c r="BW23" s="35" t="b">
        <v>0</v>
      </c>
      <c r="BX23" s="35" t="b">
        <v>0</v>
      </c>
      <c r="BY23" s="35" t="b">
        <v>0</v>
      </c>
      <c r="BZ23" s="35" t="b">
        <v>0</v>
      </c>
      <c r="CA23" s="35" t="b">
        <v>0</v>
      </c>
      <c r="CB23" s="35" t="b">
        <v>0</v>
      </c>
      <c r="CC23" s="35" t="b">
        <v>0</v>
      </c>
      <c r="CD23" s="35" t="b">
        <v>0</v>
      </c>
    </row>
    <row r="24" spans="1:82" x14ac:dyDescent="0.3">
      <c r="A24" s="35" t="s">
        <v>135</v>
      </c>
      <c r="B24" s="35" t="s">
        <v>135</v>
      </c>
      <c r="C24" s="35">
        <f t="shared" si="0"/>
        <v>3</v>
      </c>
      <c r="D24" s="35" t="b">
        <v>0</v>
      </c>
      <c r="E24" s="35" t="b">
        <v>0</v>
      </c>
      <c r="F24" s="35" t="b">
        <v>0</v>
      </c>
      <c r="G24" s="35" t="b">
        <v>0</v>
      </c>
      <c r="H24" s="35" t="b">
        <v>0</v>
      </c>
      <c r="I24" s="35" t="b">
        <v>0</v>
      </c>
      <c r="J24" s="35" t="b">
        <v>0</v>
      </c>
      <c r="K24" s="35" t="b">
        <v>0</v>
      </c>
      <c r="L24" s="35" t="b">
        <v>0</v>
      </c>
      <c r="M24" s="35" t="b">
        <v>0</v>
      </c>
      <c r="N24" s="35" t="b">
        <v>1</v>
      </c>
      <c r="O24" s="35" t="b">
        <v>1</v>
      </c>
      <c r="P24" s="35" t="b">
        <v>0</v>
      </c>
      <c r="Q24" s="35" t="b">
        <v>0</v>
      </c>
      <c r="R24" s="35" t="b">
        <v>0</v>
      </c>
      <c r="S24" s="35" t="b">
        <v>0</v>
      </c>
      <c r="T24" s="35" t="b">
        <v>0</v>
      </c>
      <c r="U24" s="35" t="b">
        <v>0</v>
      </c>
      <c r="V24" s="35" t="b">
        <v>0</v>
      </c>
      <c r="W24" s="35" t="b">
        <v>0</v>
      </c>
      <c r="X24" s="35"/>
      <c r="Y24" s="35" t="b">
        <v>0</v>
      </c>
      <c r="Z24" s="35" t="b">
        <v>0</v>
      </c>
      <c r="AA24" s="35" t="b">
        <v>0</v>
      </c>
      <c r="AB24" s="35" t="b">
        <v>0</v>
      </c>
      <c r="AC24" s="35" t="b">
        <v>0</v>
      </c>
      <c r="AD24" s="35" t="b">
        <v>0</v>
      </c>
      <c r="AE24" s="35" t="b">
        <v>0</v>
      </c>
      <c r="AF24" s="35" t="b">
        <v>0</v>
      </c>
      <c r="AG24" s="35" t="b">
        <v>0</v>
      </c>
      <c r="AH24" s="35" t="b">
        <v>0</v>
      </c>
      <c r="AI24" s="35" t="b">
        <v>0</v>
      </c>
      <c r="AJ24" s="35" t="b">
        <v>0</v>
      </c>
      <c r="AK24" s="35" t="b">
        <v>0</v>
      </c>
      <c r="AL24" s="35" t="b">
        <v>0</v>
      </c>
      <c r="AM24" s="35" t="b">
        <v>0</v>
      </c>
      <c r="AN24" s="35" t="b">
        <v>0</v>
      </c>
      <c r="AO24" s="35" t="b">
        <v>1</v>
      </c>
      <c r="AP24" s="35" t="b">
        <v>0</v>
      </c>
      <c r="AQ24" s="35" t="b">
        <v>0</v>
      </c>
      <c r="AR24" s="35" t="b">
        <v>0</v>
      </c>
      <c r="AS24" s="35" t="b">
        <v>0</v>
      </c>
      <c r="AT24" s="35" t="b">
        <v>0</v>
      </c>
      <c r="AU24" s="35" t="b">
        <v>0</v>
      </c>
      <c r="AV24" s="35" t="b">
        <v>0</v>
      </c>
      <c r="AW24" s="35" t="b">
        <v>0</v>
      </c>
      <c r="AX24" s="35" t="b">
        <v>0</v>
      </c>
      <c r="AY24" s="35" t="b">
        <v>0</v>
      </c>
      <c r="AZ24" s="35" t="b">
        <v>0</v>
      </c>
      <c r="BA24" s="35" t="b">
        <v>0</v>
      </c>
      <c r="BB24" s="35" t="b">
        <v>0</v>
      </c>
      <c r="BC24" s="35" t="b">
        <v>0</v>
      </c>
      <c r="BD24" s="35" t="b">
        <v>0</v>
      </c>
      <c r="BE24" s="35" t="b">
        <v>0</v>
      </c>
      <c r="BF24" s="35" t="b">
        <v>0</v>
      </c>
      <c r="BG24" s="35" t="b">
        <v>0</v>
      </c>
      <c r="BH24" s="35" t="b">
        <v>0</v>
      </c>
      <c r="BI24" s="35" t="b">
        <v>0</v>
      </c>
      <c r="BJ24" s="35" t="b">
        <v>0</v>
      </c>
      <c r="BK24" s="35" t="b">
        <v>0</v>
      </c>
      <c r="BL24" s="35" t="b">
        <v>0</v>
      </c>
      <c r="BM24" s="35" t="b">
        <v>0</v>
      </c>
      <c r="BN24" s="35" t="b">
        <v>0</v>
      </c>
      <c r="BO24" s="35" t="b">
        <v>0</v>
      </c>
      <c r="BP24" s="35" t="b">
        <v>0</v>
      </c>
      <c r="BQ24" s="35" t="b">
        <v>0</v>
      </c>
      <c r="BR24" s="35" t="b">
        <v>1</v>
      </c>
      <c r="BS24" s="35" t="b">
        <v>0</v>
      </c>
      <c r="BT24" s="35" t="b">
        <v>0</v>
      </c>
      <c r="BU24" s="35" t="b">
        <v>0</v>
      </c>
      <c r="BV24" s="35" t="b">
        <v>0</v>
      </c>
      <c r="BW24" s="35" t="b">
        <v>0</v>
      </c>
      <c r="BX24" s="35" t="b">
        <v>0</v>
      </c>
      <c r="BY24" s="35" t="b">
        <v>0</v>
      </c>
      <c r="BZ24" s="35" t="b">
        <v>0</v>
      </c>
      <c r="CA24" s="35" t="b">
        <v>0</v>
      </c>
      <c r="CB24" s="35" t="b">
        <v>0</v>
      </c>
      <c r="CC24" s="35" t="b">
        <v>0</v>
      </c>
      <c r="CD24" s="35" t="b">
        <v>0</v>
      </c>
    </row>
    <row r="25" spans="1:82" x14ac:dyDescent="0.3">
      <c r="A25" s="35" t="s">
        <v>154</v>
      </c>
      <c r="B25" s="35" t="s">
        <v>154</v>
      </c>
      <c r="C25" s="35">
        <f t="shared" si="0"/>
        <v>4</v>
      </c>
      <c r="D25" s="35" t="b">
        <v>0</v>
      </c>
      <c r="E25" s="35" t="b">
        <v>0</v>
      </c>
      <c r="F25" s="35" t="b">
        <v>0</v>
      </c>
      <c r="G25" s="35" t="b">
        <v>0</v>
      </c>
      <c r="H25" s="35" t="b">
        <v>0</v>
      </c>
      <c r="I25" s="35" t="b">
        <v>0</v>
      </c>
      <c r="J25" s="35" t="b">
        <v>1</v>
      </c>
      <c r="K25" s="35" t="b">
        <v>0</v>
      </c>
      <c r="L25" s="35" t="b">
        <v>0</v>
      </c>
      <c r="M25" s="35" t="b">
        <v>0</v>
      </c>
      <c r="N25" s="35" t="b">
        <v>0</v>
      </c>
      <c r="O25" s="35" t="b">
        <v>0</v>
      </c>
      <c r="P25" s="35" t="b">
        <v>0</v>
      </c>
      <c r="Q25" s="35" t="b">
        <v>0</v>
      </c>
      <c r="R25" s="35" t="b">
        <v>0</v>
      </c>
      <c r="S25" s="35" t="b">
        <v>0</v>
      </c>
      <c r="T25" s="35" t="b">
        <v>0</v>
      </c>
      <c r="U25" s="35" t="b">
        <v>0</v>
      </c>
      <c r="V25" s="35" t="b">
        <v>0</v>
      </c>
      <c r="W25" s="35" t="b">
        <v>0</v>
      </c>
      <c r="X25" s="35" t="b">
        <v>0</v>
      </c>
      <c r="Y25" s="35"/>
      <c r="Z25" s="35" t="b">
        <v>0</v>
      </c>
      <c r="AA25" s="35" t="b">
        <v>0</v>
      </c>
      <c r="AB25" s="35" t="b">
        <v>0</v>
      </c>
      <c r="AC25" s="35" t="b">
        <v>0</v>
      </c>
      <c r="AD25" s="35" t="b">
        <v>0</v>
      </c>
      <c r="AE25" s="35" t="b">
        <v>0</v>
      </c>
      <c r="AF25" s="35" t="b">
        <v>0</v>
      </c>
      <c r="AG25" s="35" t="b">
        <v>0</v>
      </c>
      <c r="AH25" s="35" t="b">
        <v>0</v>
      </c>
      <c r="AI25" s="35" t="b">
        <v>0</v>
      </c>
      <c r="AJ25" s="35" t="b">
        <v>0</v>
      </c>
      <c r="AK25" s="35" t="b">
        <v>0</v>
      </c>
      <c r="AL25" s="35" t="b">
        <v>1</v>
      </c>
      <c r="AM25" s="35" t="b">
        <v>0</v>
      </c>
      <c r="AN25" s="35" t="b">
        <v>0</v>
      </c>
      <c r="AO25" s="35" t="b">
        <v>0</v>
      </c>
      <c r="AP25" s="35" t="b">
        <v>0</v>
      </c>
      <c r="AQ25" s="35" t="b">
        <v>0</v>
      </c>
      <c r="AR25" s="35" t="b">
        <v>0</v>
      </c>
      <c r="AS25" s="35" t="b">
        <v>0</v>
      </c>
      <c r="AT25" s="35" t="b">
        <v>0</v>
      </c>
      <c r="AU25" s="35" t="b">
        <v>0</v>
      </c>
      <c r="AV25" s="35" t="b">
        <v>0</v>
      </c>
      <c r="AW25" s="35" t="b">
        <v>0</v>
      </c>
      <c r="AX25" s="35" t="b">
        <v>0</v>
      </c>
      <c r="AY25" s="35" t="b">
        <v>0</v>
      </c>
      <c r="AZ25" s="35" t="b">
        <v>1</v>
      </c>
      <c r="BA25" s="35" t="b">
        <v>0</v>
      </c>
      <c r="BB25" s="35" t="b">
        <v>0</v>
      </c>
      <c r="BC25" s="35" t="b">
        <v>0</v>
      </c>
      <c r="BD25" s="35" t="b">
        <v>0</v>
      </c>
      <c r="BE25" s="35" t="b">
        <v>0</v>
      </c>
      <c r="BF25" s="35" t="b">
        <v>0</v>
      </c>
      <c r="BG25" s="35" t="b">
        <v>0</v>
      </c>
      <c r="BH25" s="35" t="b">
        <v>0</v>
      </c>
      <c r="BI25" s="35" t="b">
        <v>0</v>
      </c>
      <c r="BJ25" s="35" t="b">
        <v>1</v>
      </c>
      <c r="BK25" s="35" t="b">
        <v>0</v>
      </c>
      <c r="BL25" s="35" t="b">
        <v>0</v>
      </c>
      <c r="BM25" s="35" t="b">
        <v>0</v>
      </c>
      <c r="BN25" s="35" t="b">
        <v>0</v>
      </c>
      <c r="BO25" s="35" t="b">
        <v>1</v>
      </c>
      <c r="BP25" s="35" t="b">
        <v>0</v>
      </c>
      <c r="BQ25" s="35" t="b">
        <v>0</v>
      </c>
      <c r="BR25" s="35" t="b">
        <v>0</v>
      </c>
      <c r="BS25" s="35" t="b">
        <v>0</v>
      </c>
      <c r="BT25" s="35" t="b">
        <v>0</v>
      </c>
      <c r="BU25" s="35" t="b">
        <v>0</v>
      </c>
      <c r="BV25" s="35" t="b">
        <v>0</v>
      </c>
      <c r="BW25" s="35" t="b">
        <v>0</v>
      </c>
      <c r="BX25" s="35" t="b">
        <v>0</v>
      </c>
      <c r="BY25" s="35" t="b">
        <v>0</v>
      </c>
      <c r="BZ25" s="35" t="b">
        <v>0</v>
      </c>
      <c r="CA25" s="35" t="b">
        <v>0</v>
      </c>
      <c r="CB25" s="35" t="b">
        <v>0</v>
      </c>
      <c r="CC25" s="35" t="b">
        <v>0</v>
      </c>
      <c r="CD25" s="35" t="b">
        <v>0</v>
      </c>
    </row>
    <row r="26" spans="1:82" x14ac:dyDescent="0.3">
      <c r="A26" s="35" t="s">
        <v>168</v>
      </c>
      <c r="B26" s="35" t="s">
        <v>168</v>
      </c>
      <c r="C26" s="35">
        <f t="shared" si="0"/>
        <v>2</v>
      </c>
      <c r="D26" s="35" t="b">
        <v>0</v>
      </c>
      <c r="E26" s="35" t="b">
        <v>0</v>
      </c>
      <c r="F26" s="35" t="b">
        <v>0</v>
      </c>
      <c r="G26" s="35" t="b">
        <v>0</v>
      </c>
      <c r="H26" s="35" t="b">
        <v>0</v>
      </c>
      <c r="I26" s="35" t="b">
        <v>0</v>
      </c>
      <c r="J26" s="35" t="b">
        <v>0</v>
      </c>
      <c r="K26" s="35" t="b">
        <v>0</v>
      </c>
      <c r="L26" s="35" t="b">
        <v>0</v>
      </c>
      <c r="M26" s="35" t="b">
        <v>0</v>
      </c>
      <c r="N26" s="35" t="b">
        <v>0</v>
      </c>
      <c r="O26" s="35" t="b">
        <v>0</v>
      </c>
      <c r="P26" s="35" t="b">
        <v>0</v>
      </c>
      <c r="Q26" s="35" t="b">
        <v>0</v>
      </c>
      <c r="R26" s="35" t="b">
        <v>0</v>
      </c>
      <c r="S26" s="35" t="b">
        <v>0</v>
      </c>
      <c r="T26" s="35" t="b">
        <v>0</v>
      </c>
      <c r="U26" s="35" t="b">
        <v>0</v>
      </c>
      <c r="V26" s="35" t="b">
        <v>0</v>
      </c>
      <c r="W26" s="35" t="b">
        <v>0</v>
      </c>
      <c r="X26" s="35" t="b">
        <v>0</v>
      </c>
      <c r="Y26" s="35" t="b">
        <v>0</v>
      </c>
      <c r="Z26" s="35"/>
      <c r="AA26" s="35" t="b">
        <v>0</v>
      </c>
      <c r="AB26" s="35" t="b">
        <v>0</v>
      </c>
      <c r="AC26" s="35" t="b">
        <v>0</v>
      </c>
      <c r="AD26" s="35" t="b">
        <v>0</v>
      </c>
      <c r="AE26" s="35" t="b">
        <v>0</v>
      </c>
      <c r="AF26" s="35" t="b">
        <v>0</v>
      </c>
      <c r="AG26" s="35" t="b">
        <v>0</v>
      </c>
      <c r="AH26" s="35" t="b">
        <v>0</v>
      </c>
      <c r="AI26" s="35" t="b">
        <v>0</v>
      </c>
      <c r="AJ26" s="35" t="b">
        <v>0</v>
      </c>
      <c r="AK26" s="35" t="b">
        <v>0</v>
      </c>
      <c r="AL26" s="35" t="b">
        <v>0</v>
      </c>
      <c r="AM26" s="35" t="b">
        <v>0</v>
      </c>
      <c r="AN26" s="35" t="b">
        <v>0</v>
      </c>
      <c r="AO26" s="35" t="b">
        <v>0</v>
      </c>
      <c r="AP26" s="35" t="b">
        <v>0</v>
      </c>
      <c r="AQ26" s="35" t="b">
        <v>0</v>
      </c>
      <c r="AR26" s="35" t="b">
        <v>0</v>
      </c>
      <c r="AS26" s="35" t="b">
        <v>0</v>
      </c>
      <c r="AT26" s="35" t="b">
        <v>0</v>
      </c>
      <c r="AU26" s="35" t="b">
        <v>0</v>
      </c>
      <c r="AV26" s="35" t="b">
        <v>0</v>
      </c>
      <c r="AW26" s="35" t="b">
        <v>0</v>
      </c>
      <c r="AX26" s="35" t="b">
        <v>0</v>
      </c>
      <c r="AY26" s="35" t="b">
        <v>0</v>
      </c>
      <c r="AZ26" s="35" t="b">
        <v>0</v>
      </c>
      <c r="BA26" s="35" t="b">
        <v>0</v>
      </c>
      <c r="BB26" s="35" t="b">
        <v>0</v>
      </c>
      <c r="BC26" s="35" t="b">
        <v>0</v>
      </c>
      <c r="BD26" s="35" t="b">
        <v>0</v>
      </c>
      <c r="BE26" s="35" t="b">
        <v>0</v>
      </c>
      <c r="BF26" s="35" t="b">
        <v>1</v>
      </c>
      <c r="BG26" s="35" t="b">
        <v>0</v>
      </c>
      <c r="BH26" s="35" t="b">
        <v>0</v>
      </c>
      <c r="BI26" s="35" t="b">
        <v>0</v>
      </c>
      <c r="BJ26" s="35" t="b">
        <v>0</v>
      </c>
      <c r="BK26" s="35" t="b">
        <v>0</v>
      </c>
      <c r="BL26" s="35" t="b">
        <v>0</v>
      </c>
      <c r="BM26" s="35" t="b">
        <v>0</v>
      </c>
      <c r="BN26" s="35" t="b">
        <v>1</v>
      </c>
      <c r="BO26" s="35" t="b">
        <v>0</v>
      </c>
      <c r="BP26" s="35" t="b">
        <v>0</v>
      </c>
      <c r="BQ26" s="35" t="b">
        <v>0</v>
      </c>
      <c r="BR26" s="35" t="b">
        <v>0</v>
      </c>
      <c r="BS26" s="35" t="b">
        <v>0</v>
      </c>
      <c r="BT26" s="35" t="b">
        <v>0</v>
      </c>
      <c r="BU26" s="35" t="b">
        <v>0</v>
      </c>
      <c r="BV26" s="35" t="b">
        <v>0</v>
      </c>
      <c r="BW26" s="35" t="b">
        <v>1</v>
      </c>
      <c r="BX26" s="35" t="b">
        <v>0</v>
      </c>
      <c r="BY26" s="35" t="b">
        <v>0</v>
      </c>
      <c r="BZ26" s="35" t="b">
        <v>0</v>
      </c>
      <c r="CA26" s="35" t="b">
        <v>0</v>
      </c>
      <c r="CB26" s="35" t="b">
        <v>0</v>
      </c>
      <c r="CC26" s="35" t="b">
        <v>0</v>
      </c>
      <c r="CD26" s="35" t="b">
        <v>0</v>
      </c>
    </row>
    <row r="27" spans="1:82" x14ac:dyDescent="0.3">
      <c r="A27" s="35" t="s">
        <v>169</v>
      </c>
      <c r="B27" s="35" t="s">
        <v>169</v>
      </c>
      <c r="C27" s="35">
        <f t="shared" si="0"/>
        <v>6</v>
      </c>
      <c r="D27" s="35" t="b">
        <v>0</v>
      </c>
      <c r="E27" s="35" t="b">
        <v>0</v>
      </c>
      <c r="F27" s="35" t="b">
        <v>1</v>
      </c>
      <c r="G27" s="35" t="b">
        <v>0</v>
      </c>
      <c r="H27" s="35" t="b">
        <v>0</v>
      </c>
      <c r="I27" s="35" t="b">
        <v>0</v>
      </c>
      <c r="J27" s="35" t="b">
        <v>0</v>
      </c>
      <c r="K27" s="35" t="b">
        <v>0</v>
      </c>
      <c r="L27" s="35" t="b">
        <v>0</v>
      </c>
      <c r="M27" s="35" t="b">
        <v>0</v>
      </c>
      <c r="N27" s="35" t="b">
        <v>0</v>
      </c>
      <c r="O27" s="35" t="b">
        <v>0</v>
      </c>
      <c r="P27" s="35" t="b">
        <v>0</v>
      </c>
      <c r="Q27" s="35" t="b">
        <v>0</v>
      </c>
      <c r="R27" s="35" t="b">
        <v>0</v>
      </c>
      <c r="S27" s="35" t="b">
        <v>1</v>
      </c>
      <c r="T27" s="35" t="b">
        <v>1</v>
      </c>
      <c r="U27" s="35" t="b">
        <v>0</v>
      </c>
      <c r="V27" s="35" t="b">
        <v>0</v>
      </c>
      <c r="W27" s="35" t="b">
        <v>0</v>
      </c>
      <c r="X27" s="35" t="b">
        <v>0</v>
      </c>
      <c r="Y27" s="35" t="b">
        <v>0</v>
      </c>
      <c r="Z27" s="35" t="b">
        <v>0</v>
      </c>
      <c r="AA27" s="35"/>
      <c r="AB27" s="35" t="b">
        <v>0</v>
      </c>
      <c r="AC27" s="35" t="b">
        <v>0</v>
      </c>
      <c r="AD27" s="35" t="b">
        <v>1</v>
      </c>
      <c r="AE27" s="35" t="b">
        <v>0</v>
      </c>
      <c r="AF27" s="35" t="b">
        <v>0</v>
      </c>
      <c r="AG27" s="35" t="b">
        <v>0</v>
      </c>
      <c r="AH27" s="35" t="b">
        <v>0</v>
      </c>
      <c r="AI27" s="35" t="b">
        <v>0</v>
      </c>
      <c r="AJ27" s="35" t="b">
        <v>0</v>
      </c>
      <c r="AK27" s="35" t="b">
        <v>0</v>
      </c>
      <c r="AL27" s="35" t="b">
        <v>0</v>
      </c>
      <c r="AM27" s="35" t="b">
        <v>0</v>
      </c>
      <c r="AN27" s="35" t="b">
        <v>0</v>
      </c>
      <c r="AO27" s="35" t="b">
        <v>0</v>
      </c>
      <c r="AP27" s="35" t="b">
        <v>0</v>
      </c>
      <c r="AQ27" s="35" t="b">
        <v>0</v>
      </c>
      <c r="AR27" s="35" t="b">
        <v>0</v>
      </c>
      <c r="AS27" s="35" t="b">
        <v>0</v>
      </c>
      <c r="AT27" s="35" t="b">
        <v>0</v>
      </c>
      <c r="AU27" s="35" t="b">
        <v>0</v>
      </c>
      <c r="AV27" s="35" t="b">
        <v>0</v>
      </c>
      <c r="AW27" s="35" t="b">
        <v>0</v>
      </c>
      <c r="AX27" s="35" t="b">
        <v>0</v>
      </c>
      <c r="AY27" s="35" t="b">
        <v>0</v>
      </c>
      <c r="AZ27" s="35" t="b">
        <v>0</v>
      </c>
      <c r="BA27" s="35" t="b">
        <v>0</v>
      </c>
      <c r="BB27" s="35" t="b">
        <v>1</v>
      </c>
      <c r="BC27" s="35" t="b">
        <v>0</v>
      </c>
      <c r="BD27" s="35" t="b">
        <v>0</v>
      </c>
      <c r="BE27" s="35" t="b">
        <v>0</v>
      </c>
      <c r="BF27" s="35" t="b">
        <v>0</v>
      </c>
      <c r="BG27" s="35" t="b">
        <v>0</v>
      </c>
      <c r="BH27" s="35" t="b">
        <v>0</v>
      </c>
      <c r="BI27" s="35" t="b">
        <v>0</v>
      </c>
      <c r="BJ27" s="35" t="b">
        <v>0</v>
      </c>
      <c r="BK27" s="35" t="b">
        <v>1</v>
      </c>
      <c r="BL27" s="35" t="b">
        <v>0</v>
      </c>
      <c r="BM27" s="35" t="b">
        <v>0</v>
      </c>
      <c r="BN27" s="35" t="b">
        <v>0</v>
      </c>
      <c r="BO27" s="35" t="b">
        <v>0</v>
      </c>
      <c r="BP27" s="35" t="b">
        <v>0</v>
      </c>
      <c r="BQ27" s="35" t="b">
        <v>1</v>
      </c>
      <c r="BR27" s="35" t="b">
        <v>0</v>
      </c>
      <c r="BS27" s="35" t="b">
        <v>0</v>
      </c>
      <c r="BT27" s="35" t="b">
        <v>0</v>
      </c>
      <c r="BU27" s="35" t="b">
        <v>0</v>
      </c>
      <c r="BV27" s="35" t="b">
        <v>0</v>
      </c>
      <c r="BW27" s="35" t="b">
        <v>0</v>
      </c>
      <c r="BX27" s="35" t="b">
        <v>0</v>
      </c>
      <c r="BY27" s="35" t="b">
        <v>0</v>
      </c>
      <c r="BZ27" s="35" t="b">
        <v>0</v>
      </c>
      <c r="CA27" s="35" t="b">
        <v>0</v>
      </c>
      <c r="CB27" s="35" t="b">
        <v>0</v>
      </c>
      <c r="CC27" s="35" t="b">
        <v>0</v>
      </c>
      <c r="CD27" s="35" t="b">
        <v>0</v>
      </c>
    </row>
    <row r="28" spans="1:82" x14ac:dyDescent="0.3">
      <c r="A28" s="35" t="s">
        <v>136</v>
      </c>
      <c r="B28" s="35" t="s">
        <v>136</v>
      </c>
      <c r="C28" s="35">
        <f t="shared" si="0"/>
        <v>4</v>
      </c>
      <c r="D28" s="35" t="b">
        <v>0</v>
      </c>
      <c r="E28" s="35" t="b">
        <v>0</v>
      </c>
      <c r="F28" s="35" t="b">
        <v>0</v>
      </c>
      <c r="G28" s="35" t="b">
        <v>0</v>
      </c>
      <c r="H28" s="35" t="b">
        <v>0</v>
      </c>
      <c r="I28" s="35" t="b">
        <v>0</v>
      </c>
      <c r="J28" s="35" t="b">
        <v>0</v>
      </c>
      <c r="K28" s="35" t="b">
        <v>0</v>
      </c>
      <c r="L28" s="35" t="b">
        <v>0</v>
      </c>
      <c r="M28" s="35" t="b">
        <v>0</v>
      </c>
      <c r="N28" s="35" t="b">
        <v>0</v>
      </c>
      <c r="O28" s="35" t="b">
        <v>1</v>
      </c>
      <c r="P28" s="35" t="b">
        <v>0</v>
      </c>
      <c r="Q28" s="35" t="b">
        <v>0</v>
      </c>
      <c r="R28" s="35" t="b">
        <v>0</v>
      </c>
      <c r="S28" s="35" t="b">
        <v>0</v>
      </c>
      <c r="T28" s="35" t="b">
        <v>0</v>
      </c>
      <c r="U28" s="35" t="b">
        <v>0</v>
      </c>
      <c r="V28" s="35" t="b">
        <v>0</v>
      </c>
      <c r="W28" s="35" t="b">
        <v>0</v>
      </c>
      <c r="X28" s="35" t="b">
        <v>0</v>
      </c>
      <c r="Y28" s="35" t="b">
        <v>0</v>
      </c>
      <c r="Z28" s="35" t="b">
        <v>0</v>
      </c>
      <c r="AA28" s="35" t="b">
        <v>0</v>
      </c>
      <c r="AB28" s="35"/>
      <c r="AC28" s="35" t="b">
        <v>0</v>
      </c>
      <c r="AD28" s="35" t="b">
        <v>0</v>
      </c>
      <c r="AE28" s="35" t="b">
        <v>0</v>
      </c>
      <c r="AF28" s="35" t="b">
        <v>0</v>
      </c>
      <c r="AG28" s="35" t="b">
        <v>0</v>
      </c>
      <c r="AH28" s="35" t="b">
        <v>0</v>
      </c>
      <c r="AI28" s="35" t="b">
        <v>0</v>
      </c>
      <c r="AJ28" s="35" t="b">
        <v>0</v>
      </c>
      <c r="AK28" s="35" t="b">
        <v>0</v>
      </c>
      <c r="AL28" s="35" t="b">
        <v>0</v>
      </c>
      <c r="AM28" s="35" t="b">
        <v>0</v>
      </c>
      <c r="AN28" s="35" t="b">
        <v>0</v>
      </c>
      <c r="AO28" s="35" t="b">
        <v>1</v>
      </c>
      <c r="AP28" s="35" t="b">
        <v>0</v>
      </c>
      <c r="AQ28" s="35" t="b">
        <v>0</v>
      </c>
      <c r="AR28" s="35" t="b">
        <v>0</v>
      </c>
      <c r="AS28" s="35" t="b">
        <v>0</v>
      </c>
      <c r="AT28" s="35" t="b">
        <v>0</v>
      </c>
      <c r="AU28" s="35" t="b">
        <v>0</v>
      </c>
      <c r="AV28" s="35" t="b">
        <v>0</v>
      </c>
      <c r="AW28" s="35" t="b">
        <v>0</v>
      </c>
      <c r="AX28" s="35" t="b">
        <v>1</v>
      </c>
      <c r="AY28" s="35" t="b">
        <v>0</v>
      </c>
      <c r="AZ28" s="35" t="b">
        <v>0</v>
      </c>
      <c r="BA28" s="35" t="b">
        <v>0</v>
      </c>
      <c r="BB28" s="35" t="b">
        <v>0</v>
      </c>
      <c r="BC28" s="35" t="b">
        <v>0</v>
      </c>
      <c r="BD28" s="35" t="b">
        <v>0</v>
      </c>
      <c r="BE28" s="35" t="b">
        <v>1</v>
      </c>
      <c r="BF28" s="35" t="b">
        <v>0</v>
      </c>
      <c r="BG28" s="35" t="b">
        <v>0</v>
      </c>
      <c r="BH28" s="35" t="b">
        <v>0</v>
      </c>
      <c r="BI28" s="35" t="b">
        <v>0</v>
      </c>
      <c r="BJ28" s="35" t="b">
        <v>0</v>
      </c>
      <c r="BK28" s="35" t="b">
        <v>0</v>
      </c>
      <c r="BL28" s="35" t="b">
        <v>0</v>
      </c>
      <c r="BM28" s="35" t="b">
        <v>0</v>
      </c>
      <c r="BN28" s="35" t="b">
        <v>0</v>
      </c>
      <c r="BO28" s="35" t="b">
        <v>0</v>
      </c>
      <c r="BP28" s="35" t="b">
        <v>1</v>
      </c>
      <c r="BQ28" s="35" t="b">
        <v>0</v>
      </c>
      <c r="BR28" s="35" t="b">
        <v>0</v>
      </c>
      <c r="BS28" s="35" t="b">
        <v>0</v>
      </c>
      <c r="BT28" s="35" t="b">
        <v>0</v>
      </c>
      <c r="BU28" s="35" t="b">
        <v>0</v>
      </c>
      <c r="BV28" s="35" t="b">
        <v>0</v>
      </c>
      <c r="BW28" s="35" t="b">
        <v>0</v>
      </c>
      <c r="BX28" s="35" t="b">
        <v>0</v>
      </c>
      <c r="BY28" s="35" t="b">
        <v>0</v>
      </c>
      <c r="BZ28" s="35" t="b">
        <v>0</v>
      </c>
      <c r="CA28" s="35" t="b">
        <v>0</v>
      </c>
      <c r="CB28" s="35" t="b">
        <v>0</v>
      </c>
      <c r="CC28" s="35" t="b">
        <v>0</v>
      </c>
      <c r="CD28" s="35" t="b">
        <v>0</v>
      </c>
    </row>
    <row r="29" spans="1:82" x14ac:dyDescent="0.3">
      <c r="A29" s="35" t="s">
        <v>155</v>
      </c>
      <c r="B29" s="35" t="s">
        <v>155</v>
      </c>
      <c r="C29" s="35">
        <f t="shared" si="0"/>
        <v>4</v>
      </c>
      <c r="D29" s="35" t="b">
        <v>0</v>
      </c>
      <c r="E29" s="35" t="b">
        <v>0</v>
      </c>
      <c r="F29" s="35" t="b">
        <v>0</v>
      </c>
      <c r="G29" s="35" t="b">
        <v>0</v>
      </c>
      <c r="H29" s="35" t="b">
        <v>0</v>
      </c>
      <c r="I29" s="35" t="b">
        <v>0</v>
      </c>
      <c r="J29" s="35" t="b">
        <v>0</v>
      </c>
      <c r="K29" s="35" t="b">
        <v>0</v>
      </c>
      <c r="L29" s="35" t="b">
        <v>0</v>
      </c>
      <c r="M29" s="35" t="b">
        <v>0</v>
      </c>
      <c r="N29" s="35" t="b">
        <v>0</v>
      </c>
      <c r="O29" s="35" t="b">
        <v>0</v>
      </c>
      <c r="P29" s="35" t="b">
        <v>0</v>
      </c>
      <c r="Q29" s="35" t="b">
        <v>1</v>
      </c>
      <c r="R29" s="35" t="b">
        <v>0</v>
      </c>
      <c r="S29" s="35" t="b">
        <v>0</v>
      </c>
      <c r="T29" s="35" t="b">
        <v>0</v>
      </c>
      <c r="U29" s="35" t="b">
        <v>0</v>
      </c>
      <c r="V29" s="35" t="b">
        <v>0</v>
      </c>
      <c r="W29" s="35" t="b">
        <v>1</v>
      </c>
      <c r="X29" s="35" t="b">
        <v>0</v>
      </c>
      <c r="Y29" s="35" t="b">
        <v>0</v>
      </c>
      <c r="Z29" s="35" t="b">
        <v>0</v>
      </c>
      <c r="AA29" s="35" t="b">
        <v>0</v>
      </c>
      <c r="AB29" s="35" t="b">
        <v>0</v>
      </c>
      <c r="AC29" s="35"/>
      <c r="AD29" s="35" t="b">
        <v>0</v>
      </c>
      <c r="AE29" s="35" t="b">
        <v>0</v>
      </c>
      <c r="AF29" s="35" t="b">
        <v>0</v>
      </c>
      <c r="AG29" s="35" t="b">
        <v>0</v>
      </c>
      <c r="AH29" s="35" t="b">
        <v>0</v>
      </c>
      <c r="AI29" s="35" t="b">
        <v>0</v>
      </c>
      <c r="AJ29" s="35" t="b">
        <v>0</v>
      </c>
      <c r="AK29" s="35" t="b">
        <v>0</v>
      </c>
      <c r="AL29" s="35" t="b">
        <v>1</v>
      </c>
      <c r="AM29" s="35" t="b">
        <v>1</v>
      </c>
      <c r="AN29" s="35" t="b">
        <v>0</v>
      </c>
      <c r="AO29" s="35" t="b">
        <v>0</v>
      </c>
      <c r="AP29" s="35" t="b">
        <v>0</v>
      </c>
      <c r="AQ29" s="35" t="b">
        <v>0</v>
      </c>
      <c r="AR29" s="35" t="b">
        <v>0</v>
      </c>
      <c r="AS29" s="35" t="b">
        <v>0</v>
      </c>
      <c r="AT29" s="35" t="b">
        <v>0</v>
      </c>
      <c r="AU29" s="35" t="b">
        <v>0</v>
      </c>
      <c r="AV29" s="35" t="b">
        <v>0</v>
      </c>
      <c r="AW29" s="35" t="b">
        <v>0</v>
      </c>
      <c r="AX29" s="35" t="b">
        <v>0</v>
      </c>
      <c r="AY29" s="35" t="b">
        <v>0</v>
      </c>
      <c r="AZ29" s="35" t="b">
        <v>1</v>
      </c>
      <c r="BA29" s="35" t="b">
        <v>0</v>
      </c>
      <c r="BB29" s="35" t="b">
        <v>0</v>
      </c>
      <c r="BC29" s="35" t="b">
        <v>0</v>
      </c>
      <c r="BD29" s="35" t="b">
        <v>0</v>
      </c>
      <c r="BE29" s="35" t="b">
        <v>0</v>
      </c>
      <c r="BF29" s="35" t="b">
        <v>0</v>
      </c>
      <c r="BG29" s="35" t="b">
        <v>0</v>
      </c>
      <c r="BH29" s="35" t="b">
        <v>0</v>
      </c>
      <c r="BI29" s="35" t="b">
        <v>0</v>
      </c>
      <c r="BJ29" s="35" t="b">
        <v>0</v>
      </c>
      <c r="BK29" s="35" t="b">
        <v>0</v>
      </c>
      <c r="BL29" s="35" t="b">
        <v>0</v>
      </c>
      <c r="BM29" s="35" t="b">
        <v>0</v>
      </c>
      <c r="BN29" s="35" t="b">
        <v>0</v>
      </c>
      <c r="BO29" s="35" t="b">
        <v>0</v>
      </c>
      <c r="BP29" s="35" t="b">
        <v>0</v>
      </c>
      <c r="BQ29" s="35" t="b">
        <v>0</v>
      </c>
      <c r="BR29" s="35" t="b">
        <v>0</v>
      </c>
      <c r="BS29" s="35" t="b">
        <v>0</v>
      </c>
      <c r="BT29" s="35" t="b">
        <v>0</v>
      </c>
      <c r="BU29" s="35" t="b">
        <v>0</v>
      </c>
      <c r="BV29" s="35" t="b">
        <v>0</v>
      </c>
      <c r="BW29" s="35" t="b">
        <v>0</v>
      </c>
      <c r="BX29" s="35" t="b">
        <v>0</v>
      </c>
      <c r="BY29" s="35" t="b">
        <v>0</v>
      </c>
      <c r="BZ29" s="35" t="b">
        <v>0</v>
      </c>
      <c r="CA29" s="35" t="b">
        <v>0</v>
      </c>
      <c r="CB29" s="35" t="b">
        <v>0</v>
      </c>
      <c r="CC29" s="35" t="b">
        <v>0</v>
      </c>
      <c r="CD29" s="35" t="b">
        <v>0</v>
      </c>
    </row>
    <row r="30" spans="1:82" x14ac:dyDescent="0.3">
      <c r="A30" s="35" t="s">
        <v>170</v>
      </c>
      <c r="B30" s="35" t="s">
        <v>170</v>
      </c>
      <c r="C30" s="35">
        <f t="shared" si="0"/>
        <v>4</v>
      </c>
      <c r="D30" s="35" t="b">
        <v>0</v>
      </c>
      <c r="E30" s="35" t="b">
        <v>0</v>
      </c>
      <c r="F30" s="35" t="b">
        <v>0</v>
      </c>
      <c r="G30" s="35" t="b">
        <v>0</v>
      </c>
      <c r="H30" s="35" t="b">
        <v>0</v>
      </c>
      <c r="I30" s="35" t="b">
        <v>0</v>
      </c>
      <c r="J30" s="35" t="b">
        <v>0</v>
      </c>
      <c r="K30" s="35" t="b">
        <v>0</v>
      </c>
      <c r="L30" s="35" t="b">
        <v>0</v>
      </c>
      <c r="M30" s="35" t="b">
        <v>0</v>
      </c>
      <c r="N30" s="35" t="b">
        <v>0</v>
      </c>
      <c r="O30" s="35" t="b">
        <v>0</v>
      </c>
      <c r="P30" s="35" t="b">
        <v>0</v>
      </c>
      <c r="Q30" s="35" t="b">
        <v>0</v>
      </c>
      <c r="R30" s="35" t="b">
        <v>0</v>
      </c>
      <c r="S30" s="35" t="b">
        <v>0</v>
      </c>
      <c r="T30" s="35" t="b">
        <v>0</v>
      </c>
      <c r="U30" s="35" t="b">
        <v>0</v>
      </c>
      <c r="V30" s="35" t="b">
        <v>0</v>
      </c>
      <c r="W30" s="35" t="b">
        <v>0</v>
      </c>
      <c r="X30" s="35" t="b">
        <v>0</v>
      </c>
      <c r="Y30" s="35" t="b">
        <v>0</v>
      </c>
      <c r="Z30" s="35" t="b">
        <v>0</v>
      </c>
      <c r="AA30" s="35" t="b">
        <v>1</v>
      </c>
      <c r="AB30" s="35" t="b">
        <v>0</v>
      </c>
      <c r="AC30" s="35" t="b">
        <v>0</v>
      </c>
      <c r="AD30" s="35"/>
      <c r="AE30" s="35" t="b">
        <v>0</v>
      </c>
      <c r="AF30" s="35" t="b">
        <v>0</v>
      </c>
      <c r="AG30" s="35" t="b">
        <v>0</v>
      </c>
      <c r="AH30" s="35" t="b">
        <v>0</v>
      </c>
      <c r="AI30" s="35" t="b">
        <v>0</v>
      </c>
      <c r="AJ30" s="35" t="b">
        <v>0</v>
      </c>
      <c r="AK30" s="35" t="b">
        <v>0</v>
      </c>
      <c r="AL30" s="35" t="b">
        <v>0</v>
      </c>
      <c r="AM30" s="35" t="b">
        <v>0</v>
      </c>
      <c r="AN30" s="35" t="b">
        <v>0</v>
      </c>
      <c r="AO30" s="35" t="b">
        <v>0</v>
      </c>
      <c r="AP30" s="35" t="b">
        <v>0</v>
      </c>
      <c r="AQ30" s="35" t="b">
        <v>0</v>
      </c>
      <c r="AR30" s="35" t="b">
        <v>0</v>
      </c>
      <c r="AS30" s="35" t="b">
        <v>0</v>
      </c>
      <c r="AT30" s="35" t="b">
        <v>0</v>
      </c>
      <c r="AU30" s="35" t="b">
        <v>0</v>
      </c>
      <c r="AV30" s="35" t="b">
        <v>0</v>
      </c>
      <c r="AW30" s="35" t="b">
        <v>0</v>
      </c>
      <c r="AX30" s="35" t="b">
        <v>0</v>
      </c>
      <c r="AY30" s="35" t="b">
        <v>0</v>
      </c>
      <c r="AZ30" s="35" t="b">
        <v>0</v>
      </c>
      <c r="BA30" s="35" t="b">
        <v>0</v>
      </c>
      <c r="BB30" s="35" t="b">
        <v>1</v>
      </c>
      <c r="BC30" s="35" t="b">
        <v>0</v>
      </c>
      <c r="BD30" s="35" t="b">
        <v>0</v>
      </c>
      <c r="BE30" s="35" t="b">
        <v>0</v>
      </c>
      <c r="BF30" s="35" t="b">
        <v>0</v>
      </c>
      <c r="BG30" s="35" t="b">
        <v>0</v>
      </c>
      <c r="BH30" s="35" t="b">
        <v>0</v>
      </c>
      <c r="BI30" s="35" t="b">
        <v>0</v>
      </c>
      <c r="BJ30" s="35" t="b">
        <v>0</v>
      </c>
      <c r="BK30" s="35" t="b">
        <v>0</v>
      </c>
      <c r="BL30" s="35" t="b">
        <v>1</v>
      </c>
      <c r="BM30" s="35" t="b">
        <v>0</v>
      </c>
      <c r="BN30" s="35" t="b">
        <v>0</v>
      </c>
      <c r="BO30" s="35" t="b">
        <v>0</v>
      </c>
      <c r="BP30" s="35" t="b">
        <v>0</v>
      </c>
      <c r="BQ30" s="35" t="b">
        <v>1</v>
      </c>
      <c r="BR30" s="35" t="b">
        <v>0</v>
      </c>
      <c r="BS30" s="35" t="b">
        <v>0</v>
      </c>
      <c r="BT30" s="35" t="b">
        <v>0</v>
      </c>
      <c r="BU30" s="35" t="b">
        <v>0</v>
      </c>
      <c r="BV30" s="35" t="b">
        <v>0</v>
      </c>
      <c r="BW30" s="35" t="b">
        <v>0</v>
      </c>
      <c r="BX30" s="35" t="b">
        <v>0</v>
      </c>
      <c r="BY30" s="35" t="b">
        <v>0</v>
      </c>
      <c r="BZ30" s="35" t="b">
        <v>0</v>
      </c>
      <c r="CA30" s="35" t="b">
        <v>1</v>
      </c>
      <c r="CB30" s="35" t="b">
        <v>0</v>
      </c>
      <c r="CC30" s="35" t="b">
        <v>0</v>
      </c>
      <c r="CD30" s="35" t="b">
        <v>0</v>
      </c>
    </row>
    <row r="31" spans="1:82" x14ac:dyDescent="0.3">
      <c r="A31" s="35" t="s">
        <v>114</v>
      </c>
      <c r="B31" s="35" t="s">
        <v>114</v>
      </c>
      <c r="C31" s="35">
        <f t="shared" si="0"/>
        <v>3</v>
      </c>
      <c r="D31" s="35" t="b">
        <v>0</v>
      </c>
      <c r="E31" s="35" t="b">
        <v>0</v>
      </c>
      <c r="F31" s="35" t="b">
        <v>0</v>
      </c>
      <c r="G31" s="35" t="b">
        <v>0</v>
      </c>
      <c r="H31" s="35" t="b">
        <v>0</v>
      </c>
      <c r="I31" s="35" t="b">
        <v>0</v>
      </c>
      <c r="J31" s="35" t="b">
        <v>0</v>
      </c>
      <c r="K31" s="35" t="b">
        <v>1</v>
      </c>
      <c r="L31" s="35" t="b">
        <v>0</v>
      </c>
      <c r="M31" s="35" t="b">
        <v>0</v>
      </c>
      <c r="N31" s="35" t="b">
        <v>0</v>
      </c>
      <c r="O31" s="35" t="b">
        <v>1</v>
      </c>
      <c r="P31" s="35" t="b">
        <v>0</v>
      </c>
      <c r="Q31" s="35" t="b">
        <v>0</v>
      </c>
      <c r="R31" s="35" t="b">
        <v>0</v>
      </c>
      <c r="S31" s="35" t="b">
        <v>0</v>
      </c>
      <c r="T31" s="35" t="b">
        <v>0</v>
      </c>
      <c r="U31" s="35" t="b">
        <v>0</v>
      </c>
      <c r="V31" s="35" t="b">
        <v>0</v>
      </c>
      <c r="W31" s="35" t="b">
        <v>0</v>
      </c>
      <c r="X31" s="35" t="b">
        <v>0</v>
      </c>
      <c r="Y31" s="35" t="b">
        <v>0</v>
      </c>
      <c r="Z31" s="35" t="b">
        <v>0</v>
      </c>
      <c r="AA31" s="35" t="b">
        <v>0</v>
      </c>
      <c r="AB31" s="35" t="b">
        <v>0</v>
      </c>
      <c r="AC31" s="35" t="b">
        <v>0</v>
      </c>
      <c r="AD31" s="35" t="b">
        <v>0</v>
      </c>
      <c r="AE31" s="35"/>
      <c r="AF31" s="35" t="b">
        <v>0</v>
      </c>
      <c r="AG31" s="35" t="b">
        <v>0</v>
      </c>
      <c r="AH31" s="35" t="b">
        <v>0</v>
      </c>
      <c r="AI31" s="35" t="b">
        <v>0</v>
      </c>
      <c r="AJ31" s="35" t="b">
        <v>0</v>
      </c>
      <c r="AK31" s="35" t="b">
        <v>0</v>
      </c>
      <c r="AL31" s="35" t="b">
        <v>0</v>
      </c>
      <c r="AM31" s="35" t="b">
        <v>0</v>
      </c>
      <c r="AN31" s="35" t="b">
        <v>0</v>
      </c>
      <c r="AO31" s="35" t="b">
        <v>0</v>
      </c>
      <c r="AP31" s="35" t="b">
        <v>0</v>
      </c>
      <c r="AQ31" s="35" t="b">
        <v>0</v>
      </c>
      <c r="AR31" s="35" t="b">
        <v>0</v>
      </c>
      <c r="AS31" s="35" t="b">
        <v>0</v>
      </c>
      <c r="AT31" s="35" t="b">
        <v>0</v>
      </c>
      <c r="AU31" s="35" t="b">
        <v>0</v>
      </c>
      <c r="AV31" s="35" t="b">
        <v>0</v>
      </c>
      <c r="AW31" s="35" t="b">
        <v>0</v>
      </c>
      <c r="AX31" s="35" t="b">
        <v>0</v>
      </c>
      <c r="AY31" s="35" t="b">
        <v>1</v>
      </c>
      <c r="AZ31" s="35" t="b">
        <v>0</v>
      </c>
      <c r="BA31" s="35" t="b">
        <v>0</v>
      </c>
      <c r="BB31" s="35" t="b">
        <v>0</v>
      </c>
      <c r="BC31" s="35" t="b">
        <v>0</v>
      </c>
      <c r="BD31" s="35" t="b">
        <v>0</v>
      </c>
      <c r="BE31" s="35" t="b">
        <v>0</v>
      </c>
      <c r="BF31" s="35" t="b">
        <v>0</v>
      </c>
      <c r="BG31" s="35" t="b">
        <v>0</v>
      </c>
      <c r="BH31" s="35" t="b">
        <v>0</v>
      </c>
      <c r="BI31" s="35" t="b">
        <v>0</v>
      </c>
      <c r="BJ31" s="35" t="b">
        <v>0</v>
      </c>
      <c r="BK31" s="35" t="b">
        <v>0</v>
      </c>
      <c r="BL31" s="35" t="b">
        <v>0</v>
      </c>
      <c r="BM31" s="35" t="b">
        <v>0</v>
      </c>
      <c r="BN31" s="35" t="b">
        <v>0</v>
      </c>
      <c r="BO31" s="35" t="b">
        <v>0</v>
      </c>
      <c r="BP31" s="35" t="b">
        <v>1</v>
      </c>
      <c r="BQ31" s="35" t="b">
        <v>0</v>
      </c>
      <c r="BR31" s="35" t="b">
        <v>0</v>
      </c>
      <c r="BS31" s="35" t="b">
        <v>0</v>
      </c>
      <c r="BT31" s="35" t="b">
        <v>0</v>
      </c>
      <c r="BU31" s="35" t="b">
        <v>0</v>
      </c>
      <c r="BV31" s="35" t="b">
        <v>0</v>
      </c>
      <c r="BW31" s="35" t="b">
        <v>0</v>
      </c>
      <c r="BX31" s="35" t="b">
        <v>0</v>
      </c>
      <c r="BY31" s="35" t="b">
        <v>0</v>
      </c>
      <c r="BZ31" s="35" t="b">
        <v>0</v>
      </c>
      <c r="CA31" s="35" t="b">
        <v>0</v>
      </c>
      <c r="CB31" s="35" t="b">
        <v>0</v>
      </c>
      <c r="CC31" s="35" t="b">
        <v>0</v>
      </c>
      <c r="CD31" s="35" t="b">
        <v>0</v>
      </c>
    </row>
    <row r="32" spans="1:82" x14ac:dyDescent="0.3">
      <c r="A32" s="35" t="s">
        <v>171</v>
      </c>
      <c r="B32" s="35" t="s">
        <v>171</v>
      </c>
      <c r="C32" s="35">
        <f t="shared" si="0"/>
        <v>5</v>
      </c>
      <c r="D32" s="35" t="b">
        <v>0</v>
      </c>
      <c r="E32" s="35" t="b">
        <v>0</v>
      </c>
      <c r="F32" s="35" t="b">
        <v>1</v>
      </c>
      <c r="G32" s="35" t="b">
        <v>0</v>
      </c>
      <c r="H32" s="35" t="b">
        <v>0</v>
      </c>
      <c r="I32" s="35" t="b">
        <v>0</v>
      </c>
      <c r="J32" s="35" t="b">
        <v>0</v>
      </c>
      <c r="K32" s="35" t="b">
        <v>0</v>
      </c>
      <c r="L32" s="35" t="b">
        <v>0</v>
      </c>
      <c r="M32" s="35" t="b">
        <v>0</v>
      </c>
      <c r="N32" s="35" t="b">
        <v>0</v>
      </c>
      <c r="O32" s="35" t="b">
        <v>0</v>
      </c>
      <c r="P32" s="35" t="b">
        <v>0</v>
      </c>
      <c r="Q32" s="35" t="b">
        <v>0</v>
      </c>
      <c r="R32" s="35" t="b">
        <v>1</v>
      </c>
      <c r="S32" s="35" t="b">
        <v>0</v>
      </c>
      <c r="T32" s="35" t="b">
        <v>0</v>
      </c>
      <c r="U32" s="35" t="b">
        <v>0</v>
      </c>
      <c r="V32" s="35" t="b">
        <v>0</v>
      </c>
      <c r="W32" s="35" t="b">
        <v>0</v>
      </c>
      <c r="X32" s="35" t="b">
        <v>0</v>
      </c>
      <c r="Y32" s="35" t="b">
        <v>0</v>
      </c>
      <c r="Z32" s="35" t="b">
        <v>0</v>
      </c>
      <c r="AA32" s="35" t="b">
        <v>0</v>
      </c>
      <c r="AB32" s="35" t="b">
        <v>0</v>
      </c>
      <c r="AC32" s="35" t="b">
        <v>0</v>
      </c>
      <c r="AD32" s="35" t="b">
        <v>0</v>
      </c>
      <c r="AE32" s="35" t="b">
        <v>0</v>
      </c>
      <c r="AF32" s="35"/>
      <c r="AG32" s="35" t="b">
        <v>0</v>
      </c>
      <c r="AH32" s="35" t="b">
        <v>0</v>
      </c>
      <c r="AI32" s="35" t="b">
        <v>0</v>
      </c>
      <c r="AJ32" s="35" t="b">
        <v>0</v>
      </c>
      <c r="AK32" s="35" t="b">
        <v>0</v>
      </c>
      <c r="AL32" s="35" t="b">
        <v>0</v>
      </c>
      <c r="AM32" s="35" t="b">
        <v>0</v>
      </c>
      <c r="AN32" s="35" t="b">
        <v>0</v>
      </c>
      <c r="AO32" s="35" t="b">
        <v>0</v>
      </c>
      <c r="AP32" s="35" t="b">
        <v>1</v>
      </c>
      <c r="AQ32" s="35" t="b">
        <v>0</v>
      </c>
      <c r="AR32" s="35" t="b">
        <v>0</v>
      </c>
      <c r="AS32" s="35" t="b">
        <v>0</v>
      </c>
      <c r="AT32" s="35" t="b">
        <v>0</v>
      </c>
      <c r="AU32" s="35" t="b">
        <v>0</v>
      </c>
      <c r="AV32" s="35" t="b">
        <v>0</v>
      </c>
      <c r="AW32" s="35" t="b">
        <v>0</v>
      </c>
      <c r="AX32" s="35" t="b">
        <v>0</v>
      </c>
      <c r="AY32" s="35" t="b">
        <v>0</v>
      </c>
      <c r="AZ32" s="35" t="b">
        <v>0</v>
      </c>
      <c r="BA32" s="35" t="b">
        <v>0</v>
      </c>
      <c r="BB32" s="35" t="b">
        <v>1</v>
      </c>
      <c r="BC32" s="35" t="b">
        <v>0</v>
      </c>
      <c r="BD32" s="35" t="b">
        <v>0</v>
      </c>
      <c r="BE32" s="35" t="b">
        <v>1</v>
      </c>
      <c r="BF32" s="35" t="b">
        <v>0</v>
      </c>
      <c r="BG32" s="35" t="b">
        <v>0</v>
      </c>
      <c r="BH32" s="35" t="b">
        <v>0</v>
      </c>
      <c r="BI32" s="35" t="b">
        <v>0</v>
      </c>
      <c r="BJ32" s="35" t="b">
        <v>0</v>
      </c>
      <c r="BK32" s="35" t="b">
        <v>1</v>
      </c>
      <c r="BL32" s="35" t="b">
        <v>0</v>
      </c>
      <c r="BM32" s="35" t="b">
        <v>0</v>
      </c>
      <c r="BN32" s="35" t="b">
        <v>0</v>
      </c>
      <c r="BO32" s="35" t="b">
        <v>0</v>
      </c>
      <c r="BP32" s="35" t="b">
        <v>0</v>
      </c>
      <c r="BQ32" s="35" t="b">
        <v>0</v>
      </c>
      <c r="BR32" s="35" t="b">
        <v>0</v>
      </c>
      <c r="BS32" s="35" t="b">
        <v>0</v>
      </c>
      <c r="BT32" s="35" t="b">
        <v>0</v>
      </c>
      <c r="BU32" s="35" t="b">
        <v>0</v>
      </c>
      <c r="BV32" s="35" t="b">
        <v>0</v>
      </c>
      <c r="BW32" s="35" t="b">
        <v>0</v>
      </c>
      <c r="BX32" s="35" t="b">
        <v>0</v>
      </c>
      <c r="BY32" s="35" t="b">
        <v>0</v>
      </c>
      <c r="BZ32" s="35" t="b">
        <v>0</v>
      </c>
      <c r="CA32" s="35" t="b">
        <v>0</v>
      </c>
      <c r="CB32" s="35" t="b">
        <v>0</v>
      </c>
      <c r="CC32" s="35" t="b">
        <v>0</v>
      </c>
      <c r="CD32" s="35" t="b">
        <v>0</v>
      </c>
    </row>
    <row r="33" spans="1:82" x14ac:dyDescent="0.3">
      <c r="A33" s="35" t="s">
        <v>172</v>
      </c>
      <c r="B33" s="35" t="s">
        <v>172</v>
      </c>
      <c r="C33" s="35">
        <f t="shared" si="0"/>
        <v>3</v>
      </c>
      <c r="D33" s="35" t="b">
        <v>0</v>
      </c>
      <c r="E33" s="35" t="b">
        <v>0</v>
      </c>
      <c r="F33" s="35" t="b">
        <v>0</v>
      </c>
      <c r="G33" s="35" t="b">
        <v>0</v>
      </c>
      <c r="H33" s="35" t="b">
        <v>0</v>
      </c>
      <c r="I33" s="35" t="b">
        <v>0</v>
      </c>
      <c r="J33" s="35" t="b">
        <v>0</v>
      </c>
      <c r="K33" s="35" t="b">
        <v>0</v>
      </c>
      <c r="L33" s="35" t="b">
        <v>0</v>
      </c>
      <c r="M33" s="35" t="b">
        <v>0</v>
      </c>
      <c r="N33" s="35" t="b">
        <v>0</v>
      </c>
      <c r="O33" s="35" t="b">
        <v>0</v>
      </c>
      <c r="P33" s="35" t="b">
        <v>0</v>
      </c>
      <c r="Q33" s="35" t="b">
        <v>0</v>
      </c>
      <c r="R33" s="35" t="b">
        <v>0</v>
      </c>
      <c r="S33" s="35" t="b">
        <v>0</v>
      </c>
      <c r="T33" s="35" t="b">
        <v>0</v>
      </c>
      <c r="U33" s="35" t="b">
        <v>0</v>
      </c>
      <c r="V33" s="35" t="b">
        <v>0</v>
      </c>
      <c r="W33" s="35" t="b">
        <v>0</v>
      </c>
      <c r="X33" s="35" t="b">
        <v>0</v>
      </c>
      <c r="Y33" s="35" t="b">
        <v>0</v>
      </c>
      <c r="Z33" s="35" t="b">
        <v>0</v>
      </c>
      <c r="AA33" s="35" t="b">
        <v>0</v>
      </c>
      <c r="AB33" s="35" t="b">
        <v>0</v>
      </c>
      <c r="AC33" s="35" t="b">
        <v>0</v>
      </c>
      <c r="AD33" s="35" t="b">
        <v>0</v>
      </c>
      <c r="AE33" s="35" t="b">
        <v>0</v>
      </c>
      <c r="AF33" s="35" t="b">
        <v>0</v>
      </c>
      <c r="AG33" s="35"/>
      <c r="AH33" s="35" t="b">
        <v>0</v>
      </c>
      <c r="AI33" s="35" t="b">
        <v>1</v>
      </c>
      <c r="AJ33" s="35" t="b">
        <v>0</v>
      </c>
      <c r="AK33" s="35" t="b">
        <v>0</v>
      </c>
      <c r="AL33" s="35" t="b">
        <v>0</v>
      </c>
      <c r="AM33" s="35" t="b">
        <v>0</v>
      </c>
      <c r="AN33" s="35" t="b">
        <v>0</v>
      </c>
      <c r="AO33" s="35" t="b">
        <v>0</v>
      </c>
      <c r="AP33" s="35" t="b">
        <v>0</v>
      </c>
      <c r="AQ33" s="35" t="b">
        <v>0</v>
      </c>
      <c r="AR33" s="35" t="b">
        <v>0</v>
      </c>
      <c r="AS33" s="35" t="b">
        <v>0</v>
      </c>
      <c r="AT33" s="35" t="b">
        <v>0</v>
      </c>
      <c r="AU33" s="35" t="b">
        <v>0</v>
      </c>
      <c r="AV33" s="35" t="b">
        <v>0</v>
      </c>
      <c r="AW33" s="35" t="b">
        <v>1</v>
      </c>
      <c r="AX33" s="35" t="b">
        <v>0</v>
      </c>
      <c r="AY33" s="35" t="b">
        <v>0</v>
      </c>
      <c r="AZ33" s="35" t="b">
        <v>0</v>
      </c>
      <c r="BA33" s="35" t="b">
        <v>0</v>
      </c>
      <c r="BB33" s="35" t="b">
        <v>0</v>
      </c>
      <c r="BC33" s="35" t="b">
        <v>0</v>
      </c>
      <c r="BD33" s="35" t="b">
        <v>0</v>
      </c>
      <c r="BE33" s="35" t="b">
        <v>0</v>
      </c>
      <c r="BF33" s="35" t="b">
        <v>0</v>
      </c>
      <c r="BG33" s="35" t="b">
        <v>0</v>
      </c>
      <c r="BH33" s="35" t="b">
        <v>0</v>
      </c>
      <c r="BI33" s="35" t="b">
        <v>0</v>
      </c>
      <c r="BJ33" s="35" t="b">
        <v>0</v>
      </c>
      <c r="BK33" s="35" t="b">
        <v>0</v>
      </c>
      <c r="BL33" s="35" t="b">
        <v>0</v>
      </c>
      <c r="BM33" s="35" t="b">
        <v>0</v>
      </c>
      <c r="BN33" s="35" t="b">
        <v>0</v>
      </c>
      <c r="BO33" s="35" t="b">
        <v>0</v>
      </c>
      <c r="BP33" s="35" t="b">
        <v>0</v>
      </c>
      <c r="BQ33" s="35" t="b">
        <v>0</v>
      </c>
      <c r="BR33" s="35" t="b">
        <v>0</v>
      </c>
      <c r="BS33" s="35" t="b">
        <v>0</v>
      </c>
      <c r="BT33" s="35" t="b">
        <v>0</v>
      </c>
      <c r="BU33" s="35" t="b">
        <v>0</v>
      </c>
      <c r="BV33" s="35" t="b">
        <v>0</v>
      </c>
      <c r="BW33" s="35" t="b">
        <v>1</v>
      </c>
      <c r="BX33" s="35" t="b">
        <v>0</v>
      </c>
      <c r="BY33" s="35" t="b">
        <v>0</v>
      </c>
      <c r="BZ33" s="35" t="b">
        <v>0</v>
      </c>
      <c r="CA33" s="35" t="b">
        <v>0</v>
      </c>
      <c r="CB33" s="35" t="b">
        <v>0</v>
      </c>
      <c r="CC33" s="35" t="b">
        <v>0</v>
      </c>
      <c r="CD33" s="35" t="b">
        <v>1</v>
      </c>
    </row>
    <row r="34" spans="1:82" x14ac:dyDescent="0.3">
      <c r="A34" s="35" t="s">
        <v>173</v>
      </c>
      <c r="B34" s="35" t="s">
        <v>173</v>
      </c>
      <c r="C34" s="35">
        <f t="shared" si="0"/>
        <v>3</v>
      </c>
      <c r="D34" s="35" t="b">
        <v>0</v>
      </c>
      <c r="E34" s="35" t="b">
        <v>0</v>
      </c>
      <c r="F34" s="35" t="b">
        <v>0</v>
      </c>
      <c r="G34" s="35" t="b">
        <v>0</v>
      </c>
      <c r="H34" s="35" t="b">
        <v>0</v>
      </c>
      <c r="I34" s="35" t="b">
        <v>0</v>
      </c>
      <c r="J34" s="35" t="b">
        <v>0</v>
      </c>
      <c r="K34" s="35" t="b">
        <v>0</v>
      </c>
      <c r="L34" s="35" t="b">
        <v>0</v>
      </c>
      <c r="M34" s="35" t="b">
        <v>1</v>
      </c>
      <c r="N34" s="35" t="b">
        <v>0</v>
      </c>
      <c r="O34" s="35" t="b">
        <v>0</v>
      </c>
      <c r="P34" s="35" t="b">
        <v>0</v>
      </c>
      <c r="Q34" s="35" t="b">
        <v>0</v>
      </c>
      <c r="R34" s="35" t="b">
        <v>0</v>
      </c>
      <c r="S34" s="35" t="b">
        <v>0</v>
      </c>
      <c r="T34" s="35" t="b">
        <v>0</v>
      </c>
      <c r="U34" s="35" t="b">
        <v>0</v>
      </c>
      <c r="V34" s="35" t="b">
        <v>0</v>
      </c>
      <c r="W34" s="35" t="b">
        <v>0</v>
      </c>
      <c r="X34" s="35" t="b">
        <v>0</v>
      </c>
      <c r="Y34" s="35" t="b">
        <v>0</v>
      </c>
      <c r="Z34" s="35" t="b">
        <v>0</v>
      </c>
      <c r="AA34" s="35" t="b">
        <v>0</v>
      </c>
      <c r="AB34" s="35" t="b">
        <v>0</v>
      </c>
      <c r="AC34" s="35" t="b">
        <v>0</v>
      </c>
      <c r="AD34" s="35" t="b">
        <v>0</v>
      </c>
      <c r="AE34" s="35" t="b">
        <v>0</v>
      </c>
      <c r="AF34" s="35" t="b">
        <v>0</v>
      </c>
      <c r="AG34" s="35" t="b">
        <v>0</v>
      </c>
      <c r="AH34" s="35"/>
      <c r="AI34" s="35" t="b">
        <v>0</v>
      </c>
      <c r="AJ34" s="35" t="b">
        <v>0</v>
      </c>
      <c r="AK34" s="35" t="b">
        <v>0</v>
      </c>
      <c r="AL34" s="35" t="b">
        <v>0</v>
      </c>
      <c r="AM34" s="35" t="b">
        <v>0</v>
      </c>
      <c r="AN34" s="35" t="b">
        <v>0</v>
      </c>
      <c r="AO34" s="35" t="b">
        <v>0</v>
      </c>
      <c r="AP34" s="35" t="b">
        <v>0</v>
      </c>
      <c r="AQ34" s="35" t="b">
        <v>0</v>
      </c>
      <c r="AR34" s="35" t="b">
        <v>0</v>
      </c>
      <c r="AS34" s="35" t="b">
        <v>1</v>
      </c>
      <c r="AT34" s="35" t="b">
        <v>0</v>
      </c>
      <c r="AU34" s="35" t="b">
        <v>1</v>
      </c>
      <c r="AV34" s="35" t="b">
        <v>0</v>
      </c>
      <c r="AW34" s="35" t="b">
        <v>0</v>
      </c>
      <c r="AX34" s="35" t="b">
        <v>0</v>
      </c>
      <c r="AY34" s="35" t="b">
        <v>0</v>
      </c>
      <c r="AZ34" s="35" t="b">
        <v>0</v>
      </c>
      <c r="BA34" s="35" t="b">
        <v>0</v>
      </c>
      <c r="BB34" s="35" t="b">
        <v>0</v>
      </c>
      <c r="BC34" s="35" t="b">
        <v>0</v>
      </c>
      <c r="BD34" s="35" t="b">
        <v>0</v>
      </c>
      <c r="BE34" s="35" t="b">
        <v>0</v>
      </c>
      <c r="BF34" s="35" t="b">
        <v>0</v>
      </c>
      <c r="BG34" s="35" t="b">
        <v>0</v>
      </c>
      <c r="BH34" s="35" t="b">
        <v>0</v>
      </c>
      <c r="BI34" s="35" t="b">
        <v>0</v>
      </c>
      <c r="BJ34" s="35" t="b">
        <v>0</v>
      </c>
      <c r="BK34" s="35" t="b">
        <v>0</v>
      </c>
      <c r="BL34" s="35" t="b">
        <v>0</v>
      </c>
      <c r="BM34" s="35" t="b">
        <v>0</v>
      </c>
      <c r="BN34" s="35" t="b">
        <v>0</v>
      </c>
      <c r="BO34" s="35" t="b">
        <v>0</v>
      </c>
      <c r="BP34" s="35" t="b">
        <v>0</v>
      </c>
      <c r="BQ34" s="35" t="b">
        <v>0</v>
      </c>
      <c r="BR34" s="35" t="b">
        <v>0</v>
      </c>
      <c r="BS34" s="35" t="b">
        <v>0</v>
      </c>
      <c r="BT34" s="35" t="b">
        <v>0</v>
      </c>
      <c r="BU34" s="35" t="b">
        <v>0</v>
      </c>
      <c r="BV34" s="35" t="b">
        <v>0</v>
      </c>
      <c r="BW34" s="35" t="b">
        <v>0</v>
      </c>
      <c r="BX34" s="35" t="b">
        <v>0</v>
      </c>
      <c r="BY34" s="35" t="b">
        <v>0</v>
      </c>
      <c r="BZ34" s="35" t="b">
        <v>0</v>
      </c>
      <c r="CA34" s="35" t="b">
        <v>1</v>
      </c>
      <c r="CB34" s="35" t="b">
        <v>0</v>
      </c>
      <c r="CC34" s="35" t="b">
        <v>0</v>
      </c>
      <c r="CD34" s="35" t="b">
        <v>0</v>
      </c>
    </row>
    <row r="35" spans="1:82" x14ac:dyDescent="0.3">
      <c r="A35" s="35" t="s">
        <v>174</v>
      </c>
      <c r="B35" s="35" t="s">
        <v>174</v>
      </c>
      <c r="C35" s="35">
        <f t="shared" si="0"/>
        <v>4</v>
      </c>
      <c r="D35" s="35" t="b">
        <v>0</v>
      </c>
      <c r="E35" s="35" t="b">
        <v>0</v>
      </c>
      <c r="F35" s="35" t="b">
        <v>0</v>
      </c>
      <c r="G35" s="35" t="b">
        <v>0</v>
      </c>
      <c r="H35" s="35" t="b">
        <v>0</v>
      </c>
      <c r="I35" s="35" t="b">
        <v>0</v>
      </c>
      <c r="J35" s="35" t="b">
        <v>0</v>
      </c>
      <c r="K35" s="35" t="b">
        <v>0</v>
      </c>
      <c r="L35" s="35" t="b">
        <v>0</v>
      </c>
      <c r="M35" s="35" t="b">
        <v>0</v>
      </c>
      <c r="N35" s="35" t="b">
        <v>0</v>
      </c>
      <c r="O35" s="35" t="b">
        <v>0</v>
      </c>
      <c r="P35" s="35" t="b">
        <v>0</v>
      </c>
      <c r="Q35" s="35" t="b">
        <v>0</v>
      </c>
      <c r="R35" s="35" t="b">
        <v>0</v>
      </c>
      <c r="S35" s="35" t="b">
        <v>0</v>
      </c>
      <c r="T35" s="35" t="b">
        <v>0</v>
      </c>
      <c r="U35" s="35" t="b">
        <v>0</v>
      </c>
      <c r="V35" s="35" t="b">
        <v>0</v>
      </c>
      <c r="W35" s="35" t="b">
        <v>0</v>
      </c>
      <c r="X35" s="35" t="b">
        <v>0</v>
      </c>
      <c r="Y35" s="35" t="b">
        <v>0</v>
      </c>
      <c r="Z35" s="35" t="b">
        <v>0</v>
      </c>
      <c r="AA35" s="35" t="b">
        <v>0</v>
      </c>
      <c r="AB35" s="35" t="b">
        <v>0</v>
      </c>
      <c r="AC35" s="35" t="b">
        <v>0</v>
      </c>
      <c r="AD35" s="35" t="b">
        <v>0</v>
      </c>
      <c r="AE35" s="35" t="b">
        <v>0</v>
      </c>
      <c r="AF35" s="35" t="b">
        <v>0</v>
      </c>
      <c r="AG35" s="35" t="b">
        <v>1</v>
      </c>
      <c r="AH35" s="35" t="b">
        <v>0</v>
      </c>
      <c r="AI35" s="35"/>
      <c r="AJ35" s="35" t="b">
        <v>0</v>
      </c>
      <c r="AK35" s="35" t="b">
        <v>0</v>
      </c>
      <c r="AL35" s="35" t="b">
        <v>0</v>
      </c>
      <c r="AM35" s="35" t="b">
        <v>0</v>
      </c>
      <c r="AN35" s="35" t="b">
        <v>0</v>
      </c>
      <c r="AO35" s="35" t="b">
        <v>0</v>
      </c>
      <c r="AP35" s="35" t="b">
        <v>0</v>
      </c>
      <c r="AQ35" s="35" t="b">
        <v>0</v>
      </c>
      <c r="AR35" s="35" t="b">
        <v>0</v>
      </c>
      <c r="AS35" s="35" t="b">
        <v>0</v>
      </c>
      <c r="AT35" s="35" t="b">
        <v>0</v>
      </c>
      <c r="AU35" s="35" t="b">
        <v>0</v>
      </c>
      <c r="AV35" s="35" t="b">
        <v>0</v>
      </c>
      <c r="AW35" s="35" t="b">
        <v>0</v>
      </c>
      <c r="AX35" s="35" t="b">
        <v>0</v>
      </c>
      <c r="AY35" s="35" t="b">
        <v>0</v>
      </c>
      <c r="AZ35" s="35" t="b">
        <v>0</v>
      </c>
      <c r="BA35" s="35" t="b">
        <v>0</v>
      </c>
      <c r="BB35" s="35" t="b">
        <v>0</v>
      </c>
      <c r="BC35" s="35" t="b">
        <v>0</v>
      </c>
      <c r="BD35" s="35" t="b">
        <v>0</v>
      </c>
      <c r="BE35" s="35" t="b">
        <v>0</v>
      </c>
      <c r="BF35" s="35" t="b">
        <v>0</v>
      </c>
      <c r="BG35" s="35" t="b">
        <v>0</v>
      </c>
      <c r="BH35" s="35" t="b">
        <v>0</v>
      </c>
      <c r="BI35" s="35" t="b">
        <v>1</v>
      </c>
      <c r="BJ35" s="35" t="b">
        <v>0</v>
      </c>
      <c r="BK35" s="35" t="b">
        <v>0</v>
      </c>
      <c r="BL35" s="35" t="b">
        <v>0</v>
      </c>
      <c r="BM35" s="35" t="b">
        <v>0</v>
      </c>
      <c r="BN35" s="35" t="b">
        <v>1</v>
      </c>
      <c r="BO35" s="35" t="b">
        <v>0</v>
      </c>
      <c r="BP35" s="35" t="b">
        <v>0</v>
      </c>
      <c r="BQ35" s="35" t="b">
        <v>0</v>
      </c>
      <c r="BR35" s="35" t="b">
        <v>0</v>
      </c>
      <c r="BS35" s="35" t="b">
        <v>0</v>
      </c>
      <c r="BT35" s="35" t="b">
        <v>0</v>
      </c>
      <c r="BU35" s="35" t="b">
        <v>0</v>
      </c>
      <c r="BV35" s="35" t="b">
        <v>0</v>
      </c>
      <c r="BW35" s="35" t="b">
        <v>1</v>
      </c>
      <c r="BX35" s="35" t="b">
        <v>0</v>
      </c>
      <c r="BY35" s="35" t="b">
        <v>0</v>
      </c>
      <c r="BZ35" s="35" t="b">
        <v>0</v>
      </c>
      <c r="CA35" s="35" t="b">
        <v>0</v>
      </c>
      <c r="CB35" s="35" t="b">
        <v>0</v>
      </c>
      <c r="CC35" s="35" t="b">
        <v>0</v>
      </c>
      <c r="CD35" s="35" t="b">
        <v>1</v>
      </c>
    </row>
    <row r="36" spans="1:82" x14ac:dyDescent="0.3">
      <c r="A36" s="35" t="s">
        <v>137</v>
      </c>
      <c r="B36" s="35" t="s">
        <v>137</v>
      </c>
      <c r="C36" s="35">
        <f t="shared" ref="C36:C67" si="1">COUNTIFS($D36:$CD36,"TRUE")-1</f>
        <v>6</v>
      </c>
      <c r="D36" s="35" t="b">
        <v>0</v>
      </c>
      <c r="E36" s="35" t="b">
        <v>0</v>
      </c>
      <c r="F36" s="35" t="b">
        <v>0</v>
      </c>
      <c r="G36" s="35" t="b">
        <v>0</v>
      </c>
      <c r="H36" s="35" t="b">
        <v>0</v>
      </c>
      <c r="I36" s="35" t="b">
        <v>0</v>
      </c>
      <c r="J36" s="35" t="b">
        <v>0</v>
      </c>
      <c r="K36" s="35" t="b">
        <v>0</v>
      </c>
      <c r="L36" s="35" t="b">
        <v>0</v>
      </c>
      <c r="M36" s="35" t="b">
        <v>1</v>
      </c>
      <c r="N36" s="35" t="b">
        <v>0</v>
      </c>
      <c r="O36" s="35" t="b">
        <v>0</v>
      </c>
      <c r="P36" s="35" t="b">
        <v>0</v>
      </c>
      <c r="Q36" s="35" t="b">
        <v>0</v>
      </c>
      <c r="R36" s="35" t="b">
        <v>0</v>
      </c>
      <c r="S36" s="35" t="b">
        <v>0</v>
      </c>
      <c r="T36" s="35" t="b">
        <v>0</v>
      </c>
      <c r="U36" s="35" t="b">
        <v>1</v>
      </c>
      <c r="V36" s="35" t="b">
        <v>0</v>
      </c>
      <c r="W36" s="35" t="b">
        <v>0</v>
      </c>
      <c r="X36" s="35" t="b">
        <v>0</v>
      </c>
      <c r="Y36" s="35" t="b">
        <v>0</v>
      </c>
      <c r="Z36" s="35" t="b">
        <v>0</v>
      </c>
      <c r="AA36" s="35" t="b">
        <v>0</v>
      </c>
      <c r="AB36" s="35" t="b">
        <v>0</v>
      </c>
      <c r="AC36" s="35" t="b">
        <v>0</v>
      </c>
      <c r="AD36" s="35" t="b">
        <v>0</v>
      </c>
      <c r="AE36" s="35" t="b">
        <v>0</v>
      </c>
      <c r="AF36" s="35" t="b">
        <v>0</v>
      </c>
      <c r="AG36" s="35" t="b">
        <v>0</v>
      </c>
      <c r="AH36" s="35" t="b">
        <v>0</v>
      </c>
      <c r="AI36" s="35" t="b">
        <v>0</v>
      </c>
      <c r="AJ36" s="35"/>
      <c r="AK36" s="35" t="b">
        <v>0</v>
      </c>
      <c r="AL36" s="35" t="b">
        <v>0</v>
      </c>
      <c r="AM36" s="35" t="b">
        <v>0</v>
      </c>
      <c r="AN36" s="35" t="b">
        <v>0</v>
      </c>
      <c r="AO36" s="35" t="b">
        <v>0</v>
      </c>
      <c r="AP36" s="35" t="b">
        <v>1</v>
      </c>
      <c r="AQ36" s="35" t="b">
        <v>0</v>
      </c>
      <c r="AR36" s="35" t="b">
        <v>0</v>
      </c>
      <c r="AS36" s="35" t="b">
        <v>0</v>
      </c>
      <c r="AT36" s="35" t="b">
        <v>0</v>
      </c>
      <c r="AU36" s="35" t="b">
        <v>0</v>
      </c>
      <c r="AV36" s="35" t="b">
        <v>1</v>
      </c>
      <c r="AW36" s="35" t="b">
        <v>0</v>
      </c>
      <c r="AX36" s="35" t="b">
        <v>1</v>
      </c>
      <c r="AY36" s="35" t="b">
        <v>0</v>
      </c>
      <c r="AZ36" s="35" t="b">
        <v>0</v>
      </c>
      <c r="BA36" s="35" t="b">
        <v>0</v>
      </c>
      <c r="BB36" s="35" t="b">
        <v>0</v>
      </c>
      <c r="BC36" s="35" t="b">
        <v>1</v>
      </c>
      <c r="BD36" s="35" t="b">
        <v>0</v>
      </c>
      <c r="BE36" s="35" t="b">
        <v>0</v>
      </c>
      <c r="BF36" s="35" t="b">
        <v>0</v>
      </c>
      <c r="BG36" s="35" t="b">
        <v>0</v>
      </c>
      <c r="BH36" s="35" t="b">
        <v>0</v>
      </c>
      <c r="BI36" s="35" t="b">
        <v>0</v>
      </c>
      <c r="BJ36" s="35" t="b">
        <v>0</v>
      </c>
      <c r="BK36" s="35" t="b">
        <v>0</v>
      </c>
      <c r="BL36" s="35" t="b">
        <v>0</v>
      </c>
      <c r="BM36" s="35" t="b">
        <v>0</v>
      </c>
      <c r="BN36" s="35" t="b">
        <v>0</v>
      </c>
      <c r="BO36" s="35" t="b">
        <v>0</v>
      </c>
      <c r="BP36" s="35" t="b">
        <v>0</v>
      </c>
      <c r="BQ36" s="35" t="b">
        <v>0</v>
      </c>
      <c r="BR36" s="35" t="b">
        <v>0</v>
      </c>
      <c r="BS36" s="35" t="b">
        <v>0</v>
      </c>
      <c r="BT36" s="35" t="b">
        <v>0</v>
      </c>
      <c r="BU36" s="35" t="b">
        <v>0</v>
      </c>
      <c r="BV36" s="35" t="b">
        <v>0</v>
      </c>
      <c r="BW36" s="35" t="b">
        <v>0</v>
      </c>
      <c r="BX36" s="35" t="b">
        <v>0</v>
      </c>
      <c r="BY36" s="35" t="b">
        <v>1</v>
      </c>
      <c r="BZ36" s="35" t="b">
        <v>0</v>
      </c>
      <c r="CA36" s="35" t="b">
        <v>0</v>
      </c>
      <c r="CB36" s="35" t="b">
        <v>0</v>
      </c>
      <c r="CC36" s="35" t="b">
        <v>0</v>
      </c>
      <c r="CD36" s="35" t="b">
        <v>0</v>
      </c>
    </row>
    <row r="37" spans="1:82" x14ac:dyDescent="0.3">
      <c r="A37" s="35" t="s">
        <v>115</v>
      </c>
      <c r="B37" s="35" t="s">
        <v>115</v>
      </c>
      <c r="C37" s="35">
        <f t="shared" si="1"/>
        <v>4</v>
      </c>
      <c r="D37" s="35" t="b">
        <v>1</v>
      </c>
      <c r="E37" s="35" t="b">
        <v>0</v>
      </c>
      <c r="F37" s="35" t="b">
        <v>0</v>
      </c>
      <c r="G37" s="35" t="b">
        <v>0</v>
      </c>
      <c r="H37" s="35" t="b">
        <v>0</v>
      </c>
      <c r="I37" s="35" t="b">
        <v>0</v>
      </c>
      <c r="J37" s="35" t="b">
        <v>0</v>
      </c>
      <c r="K37" s="35" t="b">
        <v>0</v>
      </c>
      <c r="L37" s="35" t="b">
        <v>0</v>
      </c>
      <c r="M37" s="35" t="b">
        <v>0</v>
      </c>
      <c r="N37" s="35" t="b">
        <v>0</v>
      </c>
      <c r="O37" s="35" t="b">
        <v>0</v>
      </c>
      <c r="P37" s="35" t="b">
        <v>0</v>
      </c>
      <c r="Q37" s="35" t="b">
        <v>0</v>
      </c>
      <c r="R37" s="35" t="b">
        <v>0</v>
      </c>
      <c r="S37" s="35" t="b">
        <v>0</v>
      </c>
      <c r="T37" s="35" t="b">
        <v>0</v>
      </c>
      <c r="U37" s="35" t="b">
        <v>0</v>
      </c>
      <c r="V37" s="35" t="b">
        <v>0</v>
      </c>
      <c r="W37" s="35" t="b">
        <v>0</v>
      </c>
      <c r="X37" s="35" t="b">
        <v>0</v>
      </c>
      <c r="Y37" s="35" t="b">
        <v>0</v>
      </c>
      <c r="Z37" s="35" t="b">
        <v>0</v>
      </c>
      <c r="AA37" s="35" t="b">
        <v>0</v>
      </c>
      <c r="AB37" s="35" t="b">
        <v>0</v>
      </c>
      <c r="AC37" s="35" t="b">
        <v>0</v>
      </c>
      <c r="AD37" s="35" t="b">
        <v>0</v>
      </c>
      <c r="AE37" s="35" t="b">
        <v>0</v>
      </c>
      <c r="AF37" s="35" t="b">
        <v>0</v>
      </c>
      <c r="AG37" s="35" t="b">
        <v>0</v>
      </c>
      <c r="AH37" s="35" t="b">
        <v>0</v>
      </c>
      <c r="AI37" s="35" t="b">
        <v>0</v>
      </c>
      <c r="AJ37" s="35" t="b">
        <v>0</v>
      </c>
      <c r="AK37" s="35"/>
      <c r="AL37" s="35" t="b">
        <v>0</v>
      </c>
      <c r="AM37" s="35" t="b">
        <v>0</v>
      </c>
      <c r="AN37" s="35" t="b">
        <v>0</v>
      </c>
      <c r="AO37" s="35" t="b">
        <v>0</v>
      </c>
      <c r="AP37" s="35" t="b">
        <v>0</v>
      </c>
      <c r="AQ37" s="35" t="b">
        <v>0</v>
      </c>
      <c r="AR37" s="35" t="b">
        <v>0</v>
      </c>
      <c r="AS37" s="35" t="b">
        <v>0</v>
      </c>
      <c r="AT37" s="35" t="b">
        <v>0</v>
      </c>
      <c r="AU37" s="35" t="b">
        <v>0</v>
      </c>
      <c r="AV37" s="35" t="b">
        <v>0</v>
      </c>
      <c r="AW37" s="35" t="b">
        <v>0</v>
      </c>
      <c r="AX37" s="35" t="b">
        <v>0</v>
      </c>
      <c r="AY37" s="35" t="b">
        <v>1</v>
      </c>
      <c r="AZ37" s="35" t="b">
        <v>0</v>
      </c>
      <c r="BA37" s="35" t="b">
        <v>0</v>
      </c>
      <c r="BB37" s="35" t="b">
        <v>0</v>
      </c>
      <c r="BC37" s="35" t="b">
        <v>0</v>
      </c>
      <c r="BD37" s="35" t="b">
        <v>0</v>
      </c>
      <c r="BE37" s="35" t="b">
        <v>0</v>
      </c>
      <c r="BF37" s="35" t="b">
        <v>0</v>
      </c>
      <c r="BG37" s="35" t="b">
        <v>0</v>
      </c>
      <c r="BH37" s="35" t="b">
        <v>0</v>
      </c>
      <c r="BI37" s="35" t="b">
        <v>0</v>
      </c>
      <c r="BJ37" s="35" t="b">
        <v>0</v>
      </c>
      <c r="BK37" s="35" t="b">
        <v>0</v>
      </c>
      <c r="BL37" s="35" t="b">
        <v>0</v>
      </c>
      <c r="BM37" s="35" t="b">
        <v>0</v>
      </c>
      <c r="BN37" s="35" t="b">
        <v>0</v>
      </c>
      <c r="BO37" s="35" t="b">
        <v>0</v>
      </c>
      <c r="BP37" s="35" t="b">
        <v>0</v>
      </c>
      <c r="BQ37" s="35" t="b">
        <v>0</v>
      </c>
      <c r="BR37" s="35" t="b">
        <v>0</v>
      </c>
      <c r="BS37" s="35" t="b">
        <v>1</v>
      </c>
      <c r="BT37" s="35" t="b">
        <v>1</v>
      </c>
      <c r="BU37" s="35" t="b">
        <v>0</v>
      </c>
      <c r="BV37" s="35" t="b">
        <v>0</v>
      </c>
      <c r="BW37" s="35" t="b">
        <v>0</v>
      </c>
      <c r="BX37" s="35" t="b">
        <v>0</v>
      </c>
      <c r="BY37" s="35" t="b">
        <v>0</v>
      </c>
      <c r="BZ37" s="35" t="b">
        <v>1</v>
      </c>
      <c r="CA37" s="35" t="b">
        <v>0</v>
      </c>
      <c r="CB37" s="35" t="b">
        <v>0</v>
      </c>
      <c r="CC37" s="35" t="b">
        <v>0</v>
      </c>
      <c r="CD37" s="35" t="b">
        <v>0</v>
      </c>
    </row>
    <row r="38" spans="1:82" x14ac:dyDescent="0.3">
      <c r="A38" s="35" t="s">
        <v>226</v>
      </c>
      <c r="B38" s="35" t="s">
        <v>156</v>
      </c>
      <c r="C38" s="35">
        <f t="shared" si="1"/>
        <v>4</v>
      </c>
      <c r="D38" s="35" t="b">
        <v>0</v>
      </c>
      <c r="E38" s="35" t="b">
        <v>0</v>
      </c>
      <c r="F38" s="35" t="b">
        <v>0</v>
      </c>
      <c r="G38" s="35" t="b">
        <v>0</v>
      </c>
      <c r="H38" s="35" t="b">
        <v>0</v>
      </c>
      <c r="I38" s="35" t="b">
        <v>0</v>
      </c>
      <c r="J38" s="35" t="b">
        <v>1</v>
      </c>
      <c r="K38" s="35" t="b">
        <v>0</v>
      </c>
      <c r="L38" s="35" t="b">
        <v>0</v>
      </c>
      <c r="M38" s="35" t="b">
        <v>0</v>
      </c>
      <c r="N38" s="35" t="b">
        <v>0</v>
      </c>
      <c r="O38" s="35" t="b">
        <v>0</v>
      </c>
      <c r="P38" s="35" t="b">
        <v>0</v>
      </c>
      <c r="Q38" s="35" t="b">
        <v>0</v>
      </c>
      <c r="R38" s="35" t="b">
        <v>0</v>
      </c>
      <c r="S38" s="35" t="b">
        <v>0</v>
      </c>
      <c r="T38" s="35" t="b">
        <v>0</v>
      </c>
      <c r="U38" s="35" t="b">
        <v>0</v>
      </c>
      <c r="V38" s="35" t="b">
        <v>0</v>
      </c>
      <c r="W38" s="35" t="b">
        <v>1</v>
      </c>
      <c r="X38" s="35" t="b">
        <v>0</v>
      </c>
      <c r="Y38" s="35" t="b">
        <v>1</v>
      </c>
      <c r="Z38" s="35" t="b">
        <v>0</v>
      </c>
      <c r="AA38" s="35" t="b">
        <v>0</v>
      </c>
      <c r="AB38" s="35" t="b">
        <v>0</v>
      </c>
      <c r="AC38" s="35" t="b">
        <v>1</v>
      </c>
      <c r="AD38" s="35" t="b">
        <v>0</v>
      </c>
      <c r="AE38" s="35" t="b">
        <v>0</v>
      </c>
      <c r="AF38" s="35" t="b">
        <v>0</v>
      </c>
      <c r="AG38" s="35" t="b">
        <v>0</v>
      </c>
      <c r="AH38" s="35" t="b">
        <v>0</v>
      </c>
      <c r="AI38" s="35" t="b">
        <v>0</v>
      </c>
      <c r="AJ38" s="35" t="b">
        <v>0</v>
      </c>
      <c r="AK38" s="35" t="b">
        <v>0</v>
      </c>
      <c r="AL38" s="35"/>
      <c r="AM38" s="35" t="b">
        <v>0</v>
      </c>
      <c r="AN38" s="35" t="b">
        <v>0</v>
      </c>
      <c r="AO38" s="35" t="b">
        <v>0</v>
      </c>
      <c r="AP38" s="35" t="b">
        <v>0</v>
      </c>
      <c r="AQ38" s="35" t="b">
        <v>0</v>
      </c>
      <c r="AR38" s="35" t="b">
        <v>0</v>
      </c>
      <c r="AS38" s="35" t="b">
        <v>0</v>
      </c>
      <c r="AT38" s="35" t="b">
        <v>0</v>
      </c>
      <c r="AU38" s="35" t="b">
        <v>0</v>
      </c>
      <c r="AV38" s="35" t="b">
        <v>0</v>
      </c>
      <c r="AW38" s="35" t="b">
        <v>0</v>
      </c>
      <c r="AX38" s="35" t="b">
        <v>0</v>
      </c>
      <c r="AY38" s="35" t="b">
        <v>0</v>
      </c>
      <c r="AZ38" s="35" t="b">
        <v>1</v>
      </c>
      <c r="BA38" s="35" t="b">
        <v>0</v>
      </c>
      <c r="BB38" s="35" t="b">
        <v>0</v>
      </c>
      <c r="BC38" s="35" t="b">
        <v>0</v>
      </c>
      <c r="BD38" s="35" t="b">
        <v>0</v>
      </c>
      <c r="BE38" s="35" t="b">
        <v>0</v>
      </c>
      <c r="BF38" s="35" t="b">
        <v>0</v>
      </c>
      <c r="BG38" s="35" t="b">
        <v>0</v>
      </c>
      <c r="BH38" s="35" t="b">
        <v>0</v>
      </c>
      <c r="BI38" s="35" t="b">
        <v>0</v>
      </c>
      <c r="BJ38" s="35" t="b">
        <v>0</v>
      </c>
      <c r="BK38" s="35" t="b">
        <v>0</v>
      </c>
      <c r="BL38" s="35" t="b">
        <v>0</v>
      </c>
      <c r="BM38" s="35" t="b">
        <v>0</v>
      </c>
      <c r="BN38" s="35" t="b">
        <v>0</v>
      </c>
      <c r="BO38" s="35" t="b">
        <v>0</v>
      </c>
      <c r="BP38" s="35" t="b">
        <v>0</v>
      </c>
      <c r="BQ38" s="35" t="b">
        <v>0</v>
      </c>
      <c r="BR38" s="35" t="b">
        <v>0</v>
      </c>
      <c r="BS38" s="35" t="b">
        <v>0</v>
      </c>
      <c r="BT38" s="35" t="b">
        <v>0</v>
      </c>
      <c r="BU38" s="35" t="b">
        <v>0</v>
      </c>
      <c r="BV38" s="35" t="b">
        <v>0</v>
      </c>
      <c r="BW38" s="35" t="b">
        <v>0</v>
      </c>
      <c r="BX38" s="35" t="b">
        <v>0</v>
      </c>
      <c r="BY38" s="35" t="b">
        <v>0</v>
      </c>
      <c r="BZ38" s="35" t="b">
        <v>0</v>
      </c>
      <c r="CA38" s="35" t="b">
        <v>0</v>
      </c>
      <c r="CB38" s="35" t="b">
        <v>0</v>
      </c>
      <c r="CC38" s="35" t="b">
        <v>0</v>
      </c>
      <c r="CD38" s="35" t="b">
        <v>0</v>
      </c>
    </row>
    <row r="39" spans="1:82" x14ac:dyDescent="0.3">
      <c r="A39" s="35" t="s">
        <v>116</v>
      </c>
      <c r="B39" s="35" t="s">
        <v>116</v>
      </c>
      <c r="C39" s="35">
        <f t="shared" si="1"/>
        <v>5</v>
      </c>
      <c r="D39" s="35" t="b">
        <v>0</v>
      </c>
      <c r="E39" s="35" t="b">
        <v>0</v>
      </c>
      <c r="F39" s="35" t="b">
        <v>0</v>
      </c>
      <c r="G39" s="35" t="b">
        <v>0</v>
      </c>
      <c r="H39" s="35" t="b">
        <v>0</v>
      </c>
      <c r="I39" s="35" t="b">
        <v>0</v>
      </c>
      <c r="J39" s="35" t="b">
        <v>0</v>
      </c>
      <c r="K39" s="35" t="b">
        <v>0</v>
      </c>
      <c r="L39" s="35" t="b">
        <v>0</v>
      </c>
      <c r="M39" s="35" t="b">
        <v>0</v>
      </c>
      <c r="N39" s="35" t="b">
        <v>0</v>
      </c>
      <c r="O39" s="35" t="b">
        <v>0</v>
      </c>
      <c r="P39" s="35" t="b">
        <v>0</v>
      </c>
      <c r="Q39" s="35" t="b">
        <v>1</v>
      </c>
      <c r="R39" s="35" t="b">
        <v>0</v>
      </c>
      <c r="S39" s="35" t="b">
        <v>0</v>
      </c>
      <c r="T39" s="35" t="b">
        <v>0</v>
      </c>
      <c r="U39" s="35" t="b">
        <v>0</v>
      </c>
      <c r="V39" s="35" t="b">
        <v>0</v>
      </c>
      <c r="W39" s="35" t="b">
        <v>0</v>
      </c>
      <c r="X39" s="35" t="b">
        <v>0</v>
      </c>
      <c r="Y39" s="35" t="b">
        <v>0</v>
      </c>
      <c r="Z39" s="35" t="b">
        <v>0</v>
      </c>
      <c r="AA39" s="35" t="b">
        <v>0</v>
      </c>
      <c r="AB39" s="35" t="b">
        <v>0</v>
      </c>
      <c r="AC39" s="35" t="b">
        <v>1</v>
      </c>
      <c r="AD39" s="35" t="b">
        <v>0</v>
      </c>
      <c r="AE39" s="35" t="b">
        <v>0</v>
      </c>
      <c r="AF39" s="35" t="b">
        <v>0</v>
      </c>
      <c r="AG39" s="35" t="b">
        <v>0</v>
      </c>
      <c r="AH39" s="35" t="b">
        <v>0</v>
      </c>
      <c r="AI39" s="35" t="b">
        <v>0</v>
      </c>
      <c r="AJ39" s="35" t="b">
        <v>0</v>
      </c>
      <c r="AK39" s="35" t="b">
        <v>0</v>
      </c>
      <c r="AL39" s="35" t="b">
        <v>0</v>
      </c>
      <c r="AM39" s="35"/>
      <c r="AN39" s="35" t="b">
        <v>0</v>
      </c>
      <c r="AO39" s="35" t="b">
        <v>0</v>
      </c>
      <c r="AP39" s="35" t="b">
        <v>0</v>
      </c>
      <c r="AQ39" s="35" t="b">
        <v>0</v>
      </c>
      <c r="AR39" s="35" t="b">
        <v>0</v>
      </c>
      <c r="AS39" s="35" t="b">
        <v>0</v>
      </c>
      <c r="AT39" s="35" t="b">
        <v>1</v>
      </c>
      <c r="AU39" s="35" t="b">
        <v>0</v>
      </c>
      <c r="AV39" s="35" t="b">
        <v>0</v>
      </c>
      <c r="AW39" s="35" t="b">
        <v>0</v>
      </c>
      <c r="AX39" s="35" t="b">
        <v>0</v>
      </c>
      <c r="AY39" s="35" t="b">
        <v>0</v>
      </c>
      <c r="AZ39" s="35" t="b">
        <v>1</v>
      </c>
      <c r="BA39" s="35" t="b">
        <v>0</v>
      </c>
      <c r="BB39" s="35" t="b">
        <v>0</v>
      </c>
      <c r="BC39" s="35" t="b">
        <v>0</v>
      </c>
      <c r="BD39" s="35" t="b">
        <v>0</v>
      </c>
      <c r="BE39" s="35" t="b">
        <v>0</v>
      </c>
      <c r="BF39" s="35" t="b">
        <v>0</v>
      </c>
      <c r="BG39" s="35" t="b">
        <v>0</v>
      </c>
      <c r="BH39" s="35" t="b">
        <v>0</v>
      </c>
      <c r="BI39" s="35" t="b">
        <v>0</v>
      </c>
      <c r="BJ39" s="35" t="b">
        <v>0</v>
      </c>
      <c r="BK39" s="35" t="b">
        <v>0</v>
      </c>
      <c r="BL39" s="35" t="b">
        <v>0</v>
      </c>
      <c r="BM39" s="35" t="b">
        <v>0</v>
      </c>
      <c r="BN39" s="35" t="b">
        <v>0</v>
      </c>
      <c r="BO39" s="35" t="b">
        <v>0</v>
      </c>
      <c r="BP39" s="35" t="b">
        <v>0</v>
      </c>
      <c r="BQ39" s="35" t="b">
        <v>0</v>
      </c>
      <c r="BR39" s="35" t="b">
        <v>0</v>
      </c>
      <c r="BS39" s="35" t="b">
        <v>0</v>
      </c>
      <c r="BT39" s="35" t="b">
        <v>0</v>
      </c>
      <c r="BU39" s="35" t="b">
        <v>0</v>
      </c>
      <c r="BV39" s="35" t="b">
        <v>0</v>
      </c>
      <c r="BW39" s="35" t="b">
        <v>0</v>
      </c>
      <c r="BX39" s="35" t="b">
        <v>1</v>
      </c>
      <c r="BY39" s="35" t="b">
        <v>0</v>
      </c>
      <c r="BZ39" s="35" t="b">
        <v>0</v>
      </c>
      <c r="CA39" s="35" t="b">
        <v>0</v>
      </c>
      <c r="CB39" s="35" t="b">
        <v>0</v>
      </c>
      <c r="CC39" s="35" t="b">
        <v>1</v>
      </c>
      <c r="CD39" s="35" t="b">
        <v>0</v>
      </c>
    </row>
    <row r="40" spans="1:82" x14ac:dyDescent="0.3">
      <c r="A40" s="35" t="s">
        <v>227</v>
      </c>
      <c r="B40" s="35" t="s">
        <v>157</v>
      </c>
      <c r="C40" s="35">
        <f t="shared" si="1"/>
        <v>2</v>
      </c>
      <c r="D40" s="35" t="b">
        <v>0</v>
      </c>
      <c r="E40" s="35" t="b">
        <v>0</v>
      </c>
      <c r="F40" s="35" t="b">
        <v>0</v>
      </c>
      <c r="G40" s="35" t="b">
        <v>0</v>
      </c>
      <c r="H40" s="35" t="b">
        <v>0</v>
      </c>
      <c r="I40" s="35" t="b">
        <v>1</v>
      </c>
      <c r="J40" s="35" t="b">
        <v>0</v>
      </c>
      <c r="K40" s="35" t="b">
        <v>0</v>
      </c>
      <c r="L40" s="35" t="b">
        <v>0</v>
      </c>
      <c r="M40" s="35" t="b">
        <v>0</v>
      </c>
      <c r="N40" s="35" t="b">
        <v>0</v>
      </c>
      <c r="O40" s="35" t="b">
        <v>0</v>
      </c>
      <c r="P40" s="35" t="b">
        <v>0</v>
      </c>
      <c r="Q40" s="35" t="b">
        <v>0</v>
      </c>
      <c r="R40" s="35" t="b">
        <v>0</v>
      </c>
      <c r="S40" s="35" t="b">
        <v>0</v>
      </c>
      <c r="T40" s="35" t="b">
        <v>0</v>
      </c>
      <c r="U40" s="35" t="b">
        <v>0</v>
      </c>
      <c r="V40" s="35" t="b">
        <v>0</v>
      </c>
      <c r="W40" s="35" t="b">
        <v>0</v>
      </c>
      <c r="X40" s="35" t="b">
        <v>0</v>
      </c>
      <c r="Y40" s="35" t="b">
        <v>0</v>
      </c>
      <c r="Z40" s="35" t="b">
        <v>0</v>
      </c>
      <c r="AA40" s="35" t="b">
        <v>0</v>
      </c>
      <c r="AB40" s="35" t="b">
        <v>0</v>
      </c>
      <c r="AC40" s="35" t="b">
        <v>0</v>
      </c>
      <c r="AD40" s="35" t="b">
        <v>0</v>
      </c>
      <c r="AE40" s="35" t="b">
        <v>0</v>
      </c>
      <c r="AF40" s="35" t="b">
        <v>0</v>
      </c>
      <c r="AG40" s="35" t="b">
        <v>0</v>
      </c>
      <c r="AH40" s="35" t="b">
        <v>0</v>
      </c>
      <c r="AI40" s="35" t="b">
        <v>0</v>
      </c>
      <c r="AJ40" s="35" t="b">
        <v>0</v>
      </c>
      <c r="AK40" s="35" t="b">
        <v>0</v>
      </c>
      <c r="AL40" s="35" t="b">
        <v>0</v>
      </c>
      <c r="AM40" s="35" t="b">
        <v>0</v>
      </c>
      <c r="AN40" s="35"/>
      <c r="AO40" s="35" t="b">
        <v>0</v>
      </c>
      <c r="AP40" s="35" t="b">
        <v>0</v>
      </c>
      <c r="AQ40" s="35" t="b">
        <v>0</v>
      </c>
      <c r="AR40" s="35" t="b">
        <v>0</v>
      </c>
      <c r="AS40" s="35" t="b">
        <v>0</v>
      </c>
      <c r="AT40" s="35" t="b">
        <v>0</v>
      </c>
      <c r="AU40" s="35" t="b">
        <v>0</v>
      </c>
      <c r="AV40" s="35" t="b">
        <v>0</v>
      </c>
      <c r="AW40" s="35" t="b">
        <v>0</v>
      </c>
      <c r="AX40" s="35" t="b">
        <v>0</v>
      </c>
      <c r="AY40" s="35" t="b">
        <v>0</v>
      </c>
      <c r="AZ40" s="35" t="b">
        <v>0</v>
      </c>
      <c r="BA40" s="35" t="b">
        <v>0</v>
      </c>
      <c r="BB40" s="35" t="b">
        <v>0</v>
      </c>
      <c r="BC40" s="35" t="b">
        <v>0</v>
      </c>
      <c r="BD40" s="35" t="b">
        <v>0</v>
      </c>
      <c r="BE40" s="35" t="b">
        <v>0</v>
      </c>
      <c r="BF40" s="35" t="b">
        <v>0</v>
      </c>
      <c r="BG40" s="35" t="b">
        <v>0</v>
      </c>
      <c r="BH40" s="35" t="b">
        <v>0</v>
      </c>
      <c r="BI40" s="35" t="b">
        <v>0</v>
      </c>
      <c r="BJ40" s="35" t="b">
        <v>0</v>
      </c>
      <c r="BK40" s="35" t="b">
        <v>0</v>
      </c>
      <c r="BL40" s="35" t="b">
        <v>0</v>
      </c>
      <c r="BM40" s="35" t="b">
        <v>1</v>
      </c>
      <c r="BN40" s="35" t="b">
        <v>0</v>
      </c>
      <c r="BO40" s="35" t="b">
        <v>0</v>
      </c>
      <c r="BP40" s="35" t="b">
        <v>0</v>
      </c>
      <c r="BQ40" s="35" t="b">
        <v>0</v>
      </c>
      <c r="BR40" s="35" t="b">
        <v>0</v>
      </c>
      <c r="BS40" s="35" t="b">
        <v>0</v>
      </c>
      <c r="BT40" s="35" t="b">
        <v>0</v>
      </c>
      <c r="BU40" s="35" t="b">
        <v>0</v>
      </c>
      <c r="BV40" s="35" t="b">
        <v>1</v>
      </c>
      <c r="BW40" s="35" t="b">
        <v>0</v>
      </c>
      <c r="BX40" s="35" t="b">
        <v>0</v>
      </c>
      <c r="BY40" s="35" t="b">
        <v>0</v>
      </c>
      <c r="BZ40" s="35" t="b">
        <v>0</v>
      </c>
      <c r="CA40" s="35" t="b">
        <v>0</v>
      </c>
      <c r="CB40" s="35" t="b">
        <v>0</v>
      </c>
      <c r="CC40" s="35" t="b">
        <v>0</v>
      </c>
      <c r="CD40" s="35" t="b">
        <v>0</v>
      </c>
    </row>
    <row r="41" spans="1:82" x14ac:dyDescent="0.3">
      <c r="A41" s="35" t="s">
        <v>138</v>
      </c>
      <c r="B41" s="35" t="s">
        <v>138</v>
      </c>
      <c r="C41" s="35">
        <f t="shared" si="1"/>
        <v>6</v>
      </c>
      <c r="D41" s="35" t="b">
        <v>0</v>
      </c>
      <c r="E41" s="35" t="b">
        <v>0</v>
      </c>
      <c r="F41" s="35" t="b">
        <v>0</v>
      </c>
      <c r="G41" s="35" t="b">
        <v>0</v>
      </c>
      <c r="H41" s="35" t="b">
        <v>0</v>
      </c>
      <c r="I41" s="35" t="b">
        <v>0</v>
      </c>
      <c r="J41" s="35" t="b">
        <v>0</v>
      </c>
      <c r="K41" s="35" t="b">
        <v>0</v>
      </c>
      <c r="L41" s="35" t="b">
        <v>0</v>
      </c>
      <c r="M41" s="35" t="b">
        <v>0</v>
      </c>
      <c r="N41" s="35" t="b">
        <v>1</v>
      </c>
      <c r="O41" s="35" t="b">
        <v>1</v>
      </c>
      <c r="P41" s="35" t="b">
        <v>0</v>
      </c>
      <c r="Q41" s="35" t="b">
        <v>0</v>
      </c>
      <c r="R41" s="35" t="b">
        <v>1</v>
      </c>
      <c r="S41" s="35" t="b">
        <v>0</v>
      </c>
      <c r="T41" s="35" t="b">
        <v>0</v>
      </c>
      <c r="U41" s="35" t="b">
        <v>0</v>
      </c>
      <c r="V41" s="35" t="b">
        <v>0</v>
      </c>
      <c r="W41" s="35" t="b">
        <v>0</v>
      </c>
      <c r="X41" s="35" t="b">
        <v>1</v>
      </c>
      <c r="Y41" s="35" t="b">
        <v>0</v>
      </c>
      <c r="Z41" s="35" t="b">
        <v>0</v>
      </c>
      <c r="AA41" s="35" t="b">
        <v>0</v>
      </c>
      <c r="AB41" s="35" t="b">
        <v>1</v>
      </c>
      <c r="AC41" s="35" t="b">
        <v>0</v>
      </c>
      <c r="AD41" s="35" t="b">
        <v>0</v>
      </c>
      <c r="AE41" s="35" t="b">
        <v>0</v>
      </c>
      <c r="AF41" s="35" t="b">
        <v>0</v>
      </c>
      <c r="AG41" s="35" t="b">
        <v>0</v>
      </c>
      <c r="AH41" s="35" t="b">
        <v>0</v>
      </c>
      <c r="AI41" s="35" t="b">
        <v>0</v>
      </c>
      <c r="AJ41" s="35" t="b">
        <v>0</v>
      </c>
      <c r="AK41" s="35" t="b">
        <v>0</v>
      </c>
      <c r="AL41" s="35" t="b">
        <v>0</v>
      </c>
      <c r="AM41" s="35" t="b">
        <v>0</v>
      </c>
      <c r="AN41" s="35" t="b">
        <v>0</v>
      </c>
      <c r="AO41" s="35"/>
      <c r="AP41" s="35" t="b">
        <v>0</v>
      </c>
      <c r="AQ41" s="35" t="b">
        <v>0</v>
      </c>
      <c r="AR41" s="35" t="b">
        <v>0</v>
      </c>
      <c r="AS41" s="35" t="b">
        <v>0</v>
      </c>
      <c r="AT41" s="35" t="b">
        <v>0</v>
      </c>
      <c r="AU41" s="35" t="b">
        <v>0</v>
      </c>
      <c r="AV41" s="35" t="b">
        <v>0</v>
      </c>
      <c r="AW41" s="35" t="b">
        <v>0</v>
      </c>
      <c r="AX41" s="35" t="b">
        <v>0</v>
      </c>
      <c r="AY41" s="35" t="b">
        <v>0</v>
      </c>
      <c r="AZ41" s="35" t="b">
        <v>0</v>
      </c>
      <c r="BA41" s="35" t="b">
        <v>0</v>
      </c>
      <c r="BB41" s="35" t="b">
        <v>0</v>
      </c>
      <c r="BC41" s="35" t="b">
        <v>0</v>
      </c>
      <c r="BD41" s="35" t="b">
        <v>0</v>
      </c>
      <c r="BE41" s="35" t="b">
        <v>1</v>
      </c>
      <c r="BF41" s="35" t="b">
        <v>0</v>
      </c>
      <c r="BG41" s="35" t="b">
        <v>0</v>
      </c>
      <c r="BH41" s="35" t="b">
        <v>0</v>
      </c>
      <c r="BI41" s="35" t="b">
        <v>1</v>
      </c>
      <c r="BJ41" s="35" t="b">
        <v>0</v>
      </c>
      <c r="BK41" s="35" t="b">
        <v>0</v>
      </c>
      <c r="BL41" s="35" t="b">
        <v>0</v>
      </c>
      <c r="BM41" s="35" t="b">
        <v>0</v>
      </c>
      <c r="BN41" s="35" t="b">
        <v>0</v>
      </c>
      <c r="BO41" s="35" t="b">
        <v>0</v>
      </c>
      <c r="BP41" s="35" t="b">
        <v>0</v>
      </c>
      <c r="BQ41" s="35" t="b">
        <v>0</v>
      </c>
      <c r="BR41" s="35" t="b">
        <v>0</v>
      </c>
      <c r="BS41" s="35" t="b">
        <v>0</v>
      </c>
      <c r="BT41" s="35" t="b">
        <v>0</v>
      </c>
      <c r="BU41" s="35" t="b">
        <v>0</v>
      </c>
      <c r="BV41" s="35" t="b">
        <v>0</v>
      </c>
      <c r="BW41" s="35" t="b">
        <v>0</v>
      </c>
      <c r="BX41" s="35" t="b">
        <v>0</v>
      </c>
      <c r="BY41" s="35" t="b">
        <v>0</v>
      </c>
      <c r="BZ41" s="35" t="b">
        <v>0</v>
      </c>
      <c r="CA41" s="35" t="b">
        <v>0</v>
      </c>
      <c r="CB41" s="35" t="b">
        <v>0</v>
      </c>
      <c r="CC41" s="35" t="b">
        <v>0</v>
      </c>
      <c r="CD41" s="35" t="b">
        <v>0</v>
      </c>
    </row>
    <row r="42" spans="1:82" x14ac:dyDescent="0.3">
      <c r="A42" s="35" t="s">
        <v>139</v>
      </c>
      <c r="B42" s="35" t="s">
        <v>139</v>
      </c>
      <c r="C42" s="35">
        <f t="shared" si="1"/>
        <v>5</v>
      </c>
      <c r="D42" s="35" t="b">
        <v>0</v>
      </c>
      <c r="E42" s="35" t="b">
        <v>0</v>
      </c>
      <c r="F42" s="35" t="b">
        <v>0</v>
      </c>
      <c r="G42" s="35" t="b">
        <v>0</v>
      </c>
      <c r="H42" s="35" t="b">
        <v>0</v>
      </c>
      <c r="I42" s="35" t="b">
        <v>0</v>
      </c>
      <c r="J42" s="35" t="b">
        <v>0</v>
      </c>
      <c r="K42" s="35" t="b">
        <v>0</v>
      </c>
      <c r="L42" s="35" t="b">
        <v>0</v>
      </c>
      <c r="M42" s="35" t="b">
        <v>0</v>
      </c>
      <c r="N42" s="35" t="b">
        <v>0</v>
      </c>
      <c r="O42" s="35" t="b">
        <v>0</v>
      </c>
      <c r="P42" s="35" t="b">
        <v>0</v>
      </c>
      <c r="Q42" s="35" t="b">
        <v>0</v>
      </c>
      <c r="R42" s="35" t="b">
        <v>0</v>
      </c>
      <c r="S42" s="35" t="b">
        <v>0</v>
      </c>
      <c r="T42" s="35" t="b">
        <v>0</v>
      </c>
      <c r="U42" s="35" t="b">
        <v>0</v>
      </c>
      <c r="V42" s="35" t="b">
        <v>0</v>
      </c>
      <c r="W42" s="35" t="b">
        <v>0</v>
      </c>
      <c r="X42" s="35" t="b">
        <v>0</v>
      </c>
      <c r="Y42" s="35" t="b">
        <v>0</v>
      </c>
      <c r="Z42" s="35" t="b">
        <v>0</v>
      </c>
      <c r="AA42" s="35" t="b">
        <v>0</v>
      </c>
      <c r="AB42" s="35" t="b">
        <v>0</v>
      </c>
      <c r="AC42" s="35" t="b">
        <v>0</v>
      </c>
      <c r="AD42" s="35" t="b">
        <v>0</v>
      </c>
      <c r="AE42" s="35" t="b">
        <v>0</v>
      </c>
      <c r="AF42" s="35" t="b">
        <v>1</v>
      </c>
      <c r="AG42" s="35" t="b">
        <v>0</v>
      </c>
      <c r="AH42" s="35" t="b">
        <v>0</v>
      </c>
      <c r="AI42" s="35" t="b">
        <v>0</v>
      </c>
      <c r="AJ42" s="35" t="b">
        <v>1</v>
      </c>
      <c r="AK42" s="35" t="b">
        <v>0</v>
      </c>
      <c r="AL42" s="35" t="b">
        <v>0</v>
      </c>
      <c r="AM42" s="35" t="b">
        <v>0</v>
      </c>
      <c r="AN42" s="35" t="b">
        <v>0</v>
      </c>
      <c r="AO42" s="35" t="b">
        <v>0</v>
      </c>
      <c r="AP42" s="35"/>
      <c r="AQ42" s="35" t="b">
        <v>0</v>
      </c>
      <c r="AR42" s="35" t="b">
        <v>0</v>
      </c>
      <c r="AS42" s="35" t="b">
        <v>0</v>
      </c>
      <c r="AT42" s="35" t="b">
        <v>0</v>
      </c>
      <c r="AU42" s="35" t="b">
        <v>0</v>
      </c>
      <c r="AV42" s="35" t="b">
        <v>1</v>
      </c>
      <c r="AW42" s="35" t="b">
        <v>0</v>
      </c>
      <c r="AX42" s="35" t="b">
        <v>1</v>
      </c>
      <c r="AY42" s="35" t="b">
        <v>0</v>
      </c>
      <c r="AZ42" s="35" t="b">
        <v>0</v>
      </c>
      <c r="BA42" s="35" t="b">
        <v>0</v>
      </c>
      <c r="BB42" s="35" t="b">
        <v>1</v>
      </c>
      <c r="BC42" s="35" t="b">
        <v>0</v>
      </c>
      <c r="BD42" s="35" t="b">
        <v>0</v>
      </c>
      <c r="BE42" s="35" t="b">
        <v>1</v>
      </c>
      <c r="BF42" s="35" t="b">
        <v>0</v>
      </c>
      <c r="BG42" s="35" t="b">
        <v>0</v>
      </c>
      <c r="BH42" s="35" t="b">
        <v>0</v>
      </c>
      <c r="BI42" s="35" t="b">
        <v>0</v>
      </c>
      <c r="BJ42" s="35" t="b">
        <v>0</v>
      </c>
      <c r="BK42" s="35" t="b">
        <v>0</v>
      </c>
      <c r="BL42" s="35" t="b">
        <v>0</v>
      </c>
      <c r="BM42" s="35" t="b">
        <v>0</v>
      </c>
      <c r="BN42" s="35" t="b">
        <v>0</v>
      </c>
      <c r="BO42" s="35" t="b">
        <v>0</v>
      </c>
      <c r="BP42" s="35" t="b">
        <v>0</v>
      </c>
      <c r="BQ42" s="35" t="b">
        <v>0</v>
      </c>
      <c r="BR42" s="35" t="b">
        <v>0</v>
      </c>
      <c r="BS42" s="35" t="b">
        <v>0</v>
      </c>
      <c r="BT42" s="35" t="b">
        <v>0</v>
      </c>
      <c r="BU42" s="35" t="b">
        <v>0</v>
      </c>
      <c r="BV42" s="35" t="b">
        <v>0</v>
      </c>
      <c r="BW42" s="35" t="b">
        <v>0</v>
      </c>
      <c r="BX42" s="35" t="b">
        <v>0</v>
      </c>
      <c r="BY42" s="35" t="b">
        <v>0</v>
      </c>
      <c r="BZ42" s="35" t="b">
        <v>0</v>
      </c>
      <c r="CA42" s="35" t="b">
        <v>0</v>
      </c>
      <c r="CB42" s="35" t="b">
        <v>0</v>
      </c>
      <c r="CC42" s="35" t="b">
        <v>0</v>
      </c>
      <c r="CD42" s="35" t="b">
        <v>0</v>
      </c>
    </row>
    <row r="43" spans="1:82" x14ac:dyDescent="0.3">
      <c r="A43" s="35" t="s">
        <v>117</v>
      </c>
      <c r="B43" s="35" t="s">
        <v>117</v>
      </c>
      <c r="C43" s="35">
        <f t="shared" si="1"/>
        <v>5</v>
      </c>
      <c r="D43" s="35" t="b">
        <v>0</v>
      </c>
      <c r="E43" s="35" t="b">
        <v>0</v>
      </c>
      <c r="F43" s="35" t="b">
        <v>0</v>
      </c>
      <c r="G43" s="35" t="b">
        <v>1</v>
      </c>
      <c r="H43" s="35" t="b">
        <v>0</v>
      </c>
      <c r="I43" s="35" t="b">
        <v>0</v>
      </c>
      <c r="J43" s="35" t="b">
        <v>0</v>
      </c>
      <c r="K43" s="35" t="b">
        <v>0</v>
      </c>
      <c r="L43" s="35" t="b">
        <v>1</v>
      </c>
      <c r="M43" s="35" t="b">
        <v>0</v>
      </c>
      <c r="N43" s="35" t="b">
        <v>0</v>
      </c>
      <c r="O43" s="35" t="b">
        <v>0</v>
      </c>
      <c r="P43" s="35" t="b">
        <v>0</v>
      </c>
      <c r="Q43" s="35" t="b">
        <v>0</v>
      </c>
      <c r="R43" s="35" t="b">
        <v>0</v>
      </c>
      <c r="S43" s="35" t="b">
        <v>0</v>
      </c>
      <c r="T43" s="35" t="b">
        <v>0</v>
      </c>
      <c r="U43" s="35" t="b">
        <v>0</v>
      </c>
      <c r="V43" s="35" t="b">
        <v>0</v>
      </c>
      <c r="W43" s="35" t="b">
        <v>0</v>
      </c>
      <c r="X43" s="35" t="b">
        <v>0</v>
      </c>
      <c r="Y43" s="35" t="b">
        <v>0</v>
      </c>
      <c r="Z43" s="35" t="b">
        <v>0</v>
      </c>
      <c r="AA43" s="35" t="b">
        <v>0</v>
      </c>
      <c r="AB43" s="35" t="b">
        <v>0</v>
      </c>
      <c r="AC43" s="35" t="b">
        <v>0</v>
      </c>
      <c r="AD43" s="35" t="b">
        <v>0</v>
      </c>
      <c r="AE43" s="35" t="b">
        <v>0</v>
      </c>
      <c r="AF43" s="35" t="b">
        <v>0</v>
      </c>
      <c r="AG43" s="35" t="b">
        <v>0</v>
      </c>
      <c r="AH43" s="35" t="b">
        <v>0</v>
      </c>
      <c r="AI43" s="35" t="b">
        <v>0</v>
      </c>
      <c r="AJ43" s="35" t="b">
        <v>0</v>
      </c>
      <c r="AK43" s="35" t="b">
        <v>0</v>
      </c>
      <c r="AL43" s="35" t="b">
        <v>0</v>
      </c>
      <c r="AM43" s="35" t="b">
        <v>0</v>
      </c>
      <c r="AN43" s="35" t="b">
        <v>0</v>
      </c>
      <c r="AO43" s="35" t="b">
        <v>0</v>
      </c>
      <c r="AP43" s="35" t="b">
        <v>0</v>
      </c>
      <c r="AQ43" s="35"/>
      <c r="AR43" s="35" t="b">
        <v>0</v>
      </c>
      <c r="AS43" s="35" t="b">
        <v>0</v>
      </c>
      <c r="AT43" s="35" t="b">
        <v>1</v>
      </c>
      <c r="AU43" s="35" t="b">
        <v>0</v>
      </c>
      <c r="AV43" s="35" t="b">
        <v>0</v>
      </c>
      <c r="AW43" s="35" t="b">
        <v>0</v>
      </c>
      <c r="AX43" s="35" t="b">
        <v>0</v>
      </c>
      <c r="AY43" s="35" t="b">
        <v>0</v>
      </c>
      <c r="AZ43" s="35" t="b">
        <v>0</v>
      </c>
      <c r="BA43" s="35" t="b">
        <v>0</v>
      </c>
      <c r="BB43" s="35" t="b">
        <v>0</v>
      </c>
      <c r="BC43" s="35" t="b">
        <v>0</v>
      </c>
      <c r="BD43" s="35" t="b">
        <v>0</v>
      </c>
      <c r="BE43" s="35" t="b">
        <v>0</v>
      </c>
      <c r="BF43" s="35" t="b">
        <v>0</v>
      </c>
      <c r="BG43" s="35" t="b">
        <v>0</v>
      </c>
      <c r="BH43" s="35" t="b">
        <v>1</v>
      </c>
      <c r="BI43" s="35" t="b">
        <v>0</v>
      </c>
      <c r="BJ43" s="35" t="b">
        <v>0</v>
      </c>
      <c r="BK43" s="35" t="b">
        <v>0</v>
      </c>
      <c r="BL43" s="35" t="b">
        <v>0</v>
      </c>
      <c r="BM43" s="35" t="b">
        <v>0</v>
      </c>
      <c r="BN43" s="35" t="b">
        <v>0</v>
      </c>
      <c r="BO43" s="35" t="b">
        <v>0</v>
      </c>
      <c r="BP43" s="35" t="b">
        <v>0</v>
      </c>
      <c r="BQ43" s="35" t="b">
        <v>0</v>
      </c>
      <c r="BR43" s="35" t="b">
        <v>0</v>
      </c>
      <c r="BS43" s="35" t="b">
        <v>0</v>
      </c>
      <c r="BT43" s="35" t="b">
        <v>0</v>
      </c>
      <c r="BU43" s="35" t="b">
        <v>0</v>
      </c>
      <c r="BV43" s="35" t="b">
        <v>0</v>
      </c>
      <c r="BW43" s="35" t="b">
        <v>0</v>
      </c>
      <c r="BX43" s="35" t="b">
        <v>1</v>
      </c>
      <c r="BY43" s="35" t="b">
        <v>0</v>
      </c>
      <c r="BZ43" s="35" t="b">
        <v>0</v>
      </c>
      <c r="CA43" s="35" t="b">
        <v>0</v>
      </c>
      <c r="CB43" s="35" t="b">
        <v>0</v>
      </c>
      <c r="CC43" s="35" t="b">
        <v>1</v>
      </c>
      <c r="CD43" s="35" t="b">
        <v>0</v>
      </c>
    </row>
    <row r="44" spans="1:82" x14ac:dyDescent="0.3">
      <c r="A44" s="35" t="s">
        <v>118</v>
      </c>
      <c r="B44" s="35" t="s">
        <v>118</v>
      </c>
      <c r="C44" s="35">
        <f t="shared" si="1"/>
        <v>6</v>
      </c>
      <c r="D44" s="35" t="b">
        <v>0</v>
      </c>
      <c r="E44" s="35" t="b">
        <v>0</v>
      </c>
      <c r="F44" s="35" t="b">
        <v>0</v>
      </c>
      <c r="G44" s="35" t="b">
        <v>0</v>
      </c>
      <c r="H44" s="35" t="b">
        <v>0</v>
      </c>
      <c r="I44" s="35" t="b">
        <v>1</v>
      </c>
      <c r="J44" s="35" t="b">
        <v>0</v>
      </c>
      <c r="K44" s="35" t="b">
        <v>1</v>
      </c>
      <c r="L44" s="35" t="b">
        <v>0</v>
      </c>
      <c r="M44" s="35" t="b">
        <v>0</v>
      </c>
      <c r="N44" s="35" t="b">
        <v>0</v>
      </c>
      <c r="O44" s="35" t="b">
        <v>0</v>
      </c>
      <c r="P44" s="35" t="b">
        <v>0</v>
      </c>
      <c r="Q44" s="35" t="b">
        <v>0</v>
      </c>
      <c r="R44" s="35" t="b">
        <v>0</v>
      </c>
      <c r="S44" s="35" t="b">
        <v>0</v>
      </c>
      <c r="T44" s="35" t="b">
        <v>0</v>
      </c>
      <c r="U44" s="35" t="b">
        <v>0</v>
      </c>
      <c r="V44" s="35" t="b">
        <v>0</v>
      </c>
      <c r="W44" s="35" t="b">
        <v>0</v>
      </c>
      <c r="X44" s="35" t="b">
        <v>0</v>
      </c>
      <c r="Y44" s="35" t="b">
        <v>0</v>
      </c>
      <c r="Z44" s="35" t="b">
        <v>0</v>
      </c>
      <c r="AA44" s="35" t="b">
        <v>0</v>
      </c>
      <c r="AB44" s="35" t="b">
        <v>0</v>
      </c>
      <c r="AC44" s="35" t="b">
        <v>0</v>
      </c>
      <c r="AD44" s="35" t="b">
        <v>0</v>
      </c>
      <c r="AE44" s="35" t="b">
        <v>0</v>
      </c>
      <c r="AF44" s="35" t="b">
        <v>0</v>
      </c>
      <c r="AG44" s="35" t="b">
        <v>0</v>
      </c>
      <c r="AH44" s="35" t="b">
        <v>0</v>
      </c>
      <c r="AI44" s="35" t="b">
        <v>0</v>
      </c>
      <c r="AJ44" s="35" t="b">
        <v>0</v>
      </c>
      <c r="AK44" s="35" t="b">
        <v>0</v>
      </c>
      <c r="AL44" s="35" t="b">
        <v>0</v>
      </c>
      <c r="AM44" s="35" t="b">
        <v>0</v>
      </c>
      <c r="AN44" s="35" t="b">
        <v>0</v>
      </c>
      <c r="AO44" s="35" t="b">
        <v>0</v>
      </c>
      <c r="AP44" s="35" t="b">
        <v>0</v>
      </c>
      <c r="AQ44" s="35" t="b">
        <v>0</v>
      </c>
      <c r="AR44" s="35"/>
      <c r="AS44" s="35" t="b">
        <v>0</v>
      </c>
      <c r="AT44" s="35" t="b">
        <v>0</v>
      </c>
      <c r="AU44" s="35" t="b">
        <v>0</v>
      </c>
      <c r="AV44" s="35" t="b">
        <v>0</v>
      </c>
      <c r="AW44" s="35" t="b">
        <v>0</v>
      </c>
      <c r="AX44" s="35" t="b">
        <v>0</v>
      </c>
      <c r="AY44" s="35" t="b">
        <v>0</v>
      </c>
      <c r="AZ44" s="35" t="b">
        <v>0</v>
      </c>
      <c r="BA44" s="35" t="b">
        <v>0</v>
      </c>
      <c r="BB44" s="35" t="b">
        <v>0</v>
      </c>
      <c r="BC44" s="35" t="b">
        <v>0</v>
      </c>
      <c r="BD44" s="35" t="b">
        <v>0</v>
      </c>
      <c r="BE44" s="35" t="b">
        <v>0</v>
      </c>
      <c r="BF44" s="35" t="b">
        <v>0</v>
      </c>
      <c r="BG44" s="35" t="b">
        <v>1</v>
      </c>
      <c r="BH44" s="35" t="b">
        <v>0</v>
      </c>
      <c r="BI44" s="35" t="b">
        <v>0</v>
      </c>
      <c r="BJ44" s="35" t="b">
        <v>0</v>
      </c>
      <c r="BK44" s="35" t="b">
        <v>0</v>
      </c>
      <c r="BL44" s="35" t="b">
        <v>0</v>
      </c>
      <c r="BM44" s="35" t="b">
        <v>0</v>
      </c>
      <c r="BN44" s="35" t="b">
        <v>0</v>
      </c>
      <c r="BO44" s="35" t="b">
        <v>0</v>
      </c>
      <c r="BP44" s="35" t="b">
        <v>1</v>
      </c>
      <c r="BQ44" s="35" t="b">
        <v>0</v>
      </c>
      <c r="BR44" s="35" t="b">
        <v>0</v>
      </c>
      <c r="BS44" s="35" t="b">
        <v>0</v>
      </c>
      <c r="BT44" s="35" t="b">
        <v>1</v>
      </c>
      <c r="BU44" s="35" t="b">
        <v>0</v>
      </c>
      <c r="BV44" s="35" t="b">
        <v>1</v>
      </c>
      <c r="BW44" s="35" t="b">
        <v>0</v>
      </c>
      <c r="BX44" s="35" t="b">
        <v>0</v>
      </c>
      <c r="BY44" s="35" t="b">
        <v>0</v>
      </c>
      <c r="BZ44" s="35" t="b">
        <v>0</v>
      </c>
      <c r="CA44" s="35" t="b">
        <v>0</v>
      </c>
      <c r="CB44" s="35" t="b">
        <v>0</v>
      </c>
      <c r="CC44" s="35" t="b">
        <v>1</v>
      </c>
      <c r="CD44" s="35" t="b">
        <v>0</v>
      </c>
    </row>
    <row r="45" spans="1:82" x14ac:dyDescent="0.3">
      <c r="A45" s="35" t="s">
        <v>175</v>
      </c>
      <c r="B45" s="35" t="s">
        <v>175</v>
      </c>
      <c r="C45" s="35">
        <f t="shared" si="1"/>
        <v>3</v>
      </c>
      <c r="D45" s="35" t="b">
        <v>0</v>
      </c>
      <c r="E45" s="35" t="b">
        <v>0</v>
      </c>
      <c r="F45" s="35" t="b">
        <v>0</v>
      </c>
      <c r="G45" s="35" t="b">
        <v>0</v>
      </c>
      <c r="H45" s="35" t="b">
        <v>0</v>
      </c>
      <c r="I45" s="35" t="b">
        <v>0</v>
      </c>
      <c r="J45" s="35" t="b">
        <v>0</v>
      </c>
      <c r="K45" s="35" t="b">
        <v>0</v>
      </c>
      <c r="L45" s="35" t="b">
        <v>0</v>
      </c>
      <c r="M45" s="35" t="b">
        <v>1</v>
      </c>
      <c r="N45" s="35" t="b">
        <v>0</v>
      </c>
      <c r="O45" s="35" t="b">
        <v>0</v>
      </c>
      <c r="P45" s="35" t="b">
        <v>0</v>
      </c>
      <c r="Q45" s="35" t="b">
        <v>0</v>
      </c>
      <c r="R45" s="35" t="b">
        <v>0</v>
      </c>
      <c r="S45" s="35" t="b">
        <v>0</v>
      </c>
      <c r="T45" s="35" t="b">
        <v>0</v>
      </c>
      <c r="U45" s="35" t="b">
        <v>0</v>
      </c>
      <c r="V45" s="35" t="b">
        <v>0</v>
      </c>
      <c r="W45" s="35" t="b">
        <v>0</v>
      </c>
      <c r="X45" s="35" t="b">
        <v>0</v>
      </c>
      <c r="Y45" s="35" t="b">
        <v>0</v>
      </c>
      <c r="Z45" s="35" t="b">
        <v>0</v>
      </c>
      <c r="AA45" s="35" t="b">
        <v>0</v>
      </c>
      <c r="AB45" s="35" t="b">
        <v>0</v>
      </c>
      <c r="AC45" s="35" t="b">
        <v>0</v>
      </c>
      <c r="AD45" s="35" t="b">
        <v>0</v>
      </c>
      <c r="AE45" s="35" t="b">
        <v>0</v>
      </c>
      <c r="AF45" s="35" t="b">
        <v>0</v>
      </c>
      <c r="AG45" s="35" t="b">
        <v>0</v>
      </c>
      <c r="AH45" s="35" t="b">
        <v>1</v>
      </c>
      <c r="AI45" s="35" t="b">
        <v>0</v>
      </c>
      <c r="AJ45" s="35" t="b">
        <v>0</v>
      </c>
      <c r="AK45" s="35" t="b">
        <v>0</v>
      </c>
      <c r="AL45" s="35" t="b">
        <v>0</v>
      </c>
      <c r="AM45" s="35" t="b">
        <v>0</v>
      </c>
      <c r="AN45" s="35" t="b">
        <v>0</v>
      </c>
      <c r="AO45" s="35" t="b">
        <v>0</v>
      </c>
      <c r="AP45" s="35" t="b">
        <v>0</v>
      </c>
      <c r="AQ45" s="35" t="b">
        <v>0</v>
      </c>
      <c r="AR45" s="35" t="b">
        <v>0</v>
      </c>
      <c r="AS45" s="35"/>
      <c r="AT45" s="35" t="b">
        <v>0</v>
      </c>
      <c r="AU45" s="35" t="b">
        <v>1</v>
      </c>
      <c r="AV45" s="35" t="b">
        <v>0</v>
      </c>
      <c r="AW45" s="35" t="b">
        <v>0</v>
      </c>
      <c r="AX45" s="35" t="b">
        <v>0</v>
      </c>
      <c r="AY45" s="35" t="b">
        <v>0</v>
      </c>
      <c r="AZ45" s="35" t="b">
        <v>0</v>
      </c>
      <c r="BA45" s="35" t="b">
        <v>1</v>
      </c>
      <c r="BB45" s="35" t="b">
        <v>0</v>
      </c>
      <c r="BC45" s="35" t="b">
        <v>0</v>
      </c>
      <c r="BD45" s="35" t="b">
        <v>0</v>
      </c>
      <c r="BE45" s="35" t="b">
        <v>0</v>
      </c>
      <c r="BF45" s="35" t="b">
        <v>0</v>
      </c>
      <c r="BG45" s="35" t="b">
        <v>0</v>
      </c>
      <c r="BH45" s="35" t="b">
        <v>0</v>
      </c>
      <c r="BI45" s="35" t="b">
        <v>0</v>
      </c>
      <c r="BJ45" s="35" t="b">
        <v>0</v>
      </c>
      <c r="BK45" s="35" t="b">
        <v>0</v>
      </c>
      <c r="BL45" s="35" t="b">
        <v>0</v>
      </c>
      <c r="BM45" s="35" t="b">
        <v>0</v>
      </c>
      <c r="BN45" s="35" t="b">
        <v>0</v>
      </c>
      <c r="BO45" s="35" t="b">
        <v>0</v>
      </c>
      <c r="BP45" s="35" t="b">
        <v>0</v>
      </c>
      <c r="BQ45" s="35" t="b">
        <v>0</v>
      </c>
      <c r="BR45" s="35" t="b">
        <v>0</v>
      </c>
      <c r="BS45" s="35" t="b">
        <v>0</v>
      </c>
      <c r="BT45" s="35" t="b">
        <v>0</v>
      </c>
      <c r="BU45" s="35" t="b">
        <v>0</v>
      </c>
      <c r="BV45" s="35" t="b">
        <v>0</v>
      </c>
      <c r="BW45" s="35" t="b">
        <v>0</v>
      </c>
      <c r="BX45" s="35" t="b">
        <v>0</v>
      </c>
      <c r="BY45" s="35" t="b">
        <v>0</v>
      </c>
      <c r="BZ45" s="35" t="b">
        <v>0</v>
      </c>
      <c r="CA45" s="35" t="b">
        <v>0</v>
      </c>
      <c r="CB45" s="35" t="b">
        <v>0</v>
      </c>
      <c r="CC45" s="35" t="b">
        <v>0</v>
      </c>
      <c r="CD45" s="35" t="b">
        <v>0</v>
      </c>
    </row>
    <row r="46" spans="1:82" x14ac:dyDescent="0.3">
      <c r="A46" s="35" t="s">
        <v>119</v>
      </c>
      <c r="B46" s="35" t="s">
        <v>119</v>
      </c>
      <c r="C46" s="35">
        <f t="shared" si="1"/>
        <v>3</v>
      </c>
      <c r="D46" s="35" t="b">
        <v>0</v>
      </c>
      <c r="E46" s="35" t="b">
        <v>0</v>
      </c>
      <c r="F46" s="35" t="b">
        <v>0</v>
      </c>
      <c r="G46" s="35" t="b">
        <v>0</v>
      </c>
      <c r="H46" s="35" t="b">
        <v>0</v>
      </c>
      <c r="I46" s="35" t="b">
        <v>0</v>
      </c>
      <c r="J46" s="35" t="b">
        <v>0</v>
      </c>
      <c r="K46" s="35" t="b">
        <v>0</v>
      </c>
      <c r="L46" s="35" t="b">
        <v>0</v>
      </c>
      <c r="M46" s="35" t="b">
        <v>0</v>
      </c>
      <c r="N46" s="35" t="b">
        <v>0</v>
      </c>
      <c r="O46" s="35" t="b">
        <v>0</v>
      </c>
      <c r="P46" s="35" t="b">
        <v>0</v>
      </c>
      <c r="Q46" s="35" t="b">
        <v>0</v>
      </c>
      <c r="R46" s="35" t="b">
        <v>0</v>
      </c>
      <c r="S46" s="35" t="b">
        <v>0</v>
      </c>
      <c r="T46" s="35" t="b">
        <v>0</v>
      </c>
      <c r="U46" s="35" t="b">
        <v>0</v>
      </c>
      <c r="V46" s="35" t="b">
        <v>0</v>
      </c>
      <c r="W46" s="35" t="b">
        <v>0</v>
      </c>
      <c r="X46" s="35" t="b">
        <v>0</v>
      </c>
      <c r="Y46" s="35" t="b">
        <v>0</v>
      </c>
      <c r="Z46" s="35" t="b">
        <v>0</v>
      </c>
      <c r="AA46" s="35" t="b">
        <v>0</v>
      </c>
      <c r="AB46" s="35" t="b">
        <v>0</v>
      </c>
      <c r="AC46" s="35" t="b">
        <v>0</v>
      </c>
      <c r="AD46" s="35" t="b">
        <v>0</v>
      </c>
      <c r="AE46" s="35" t="b">
        <v>0</v>
      </c>
      <c r="AF46" s="35" t="b">
        <v>0</v>
      </c>
      <c r="AG46" s="35" t="b">
        <v>0</v>
      </c>
      <c r="AH46" s="35" t="b">
        <v>0</v>
      </c>
      <c r="AI46" s="35" t="b">
        <v>0</v>
      </c>
      <c r="AJ46" s="35" t="b">
        <v>0</v>
      </c>
      <c r="AK46" s="35" t="b">
        <v>0</v>
      </c>
      <c r="AL46" s="35" t="b">
        <v>0</v>
      </c>
      <c r="AM46" s="35" t="b">
        <v>1</v>
      </c>
      <c r="AN46" s="35" t="b">
        <v>0</v>
      </c>
      <c r="AO46" s="35" t="b">
        <v>0</v>
      </c>
      <c r="AP46" s="35" t="b">
        <v>0</v>
      </c>
      <c r="AQ46" s="35" t="b">
        <v>1</v>
      </c>
      <c r="AR46" s="35" t="b">
        <v>0</v>
      </c>
      <c r="AS46" s="35" t="b">
        <v>0</v>
      </c>
      <c r="AT46" s="35"/>
      <c r="AU46" s="35" t="b">
        <v>0</v>
      </c>
      <c r="AV46" s="35" t="b">
        <v>0</v>
      </c>
      <c r="AW46" s="35" t="b">
        <v>0</v>
      </c>
      <c r="AX46" s="35" t="b">
        <v>0</v>
      </c>
      <c r="AY46" s="35" t="b">
        <v>0</v>
      </c>
      <c r="AZ46" s="35" t="b">
        <v>0</v>
      </c>
      <c r="BA46" s="35" t="b">
        <v>0</v>
      </c>
      <c r="BB46" s="35" t="b">
        <v>0</v>
      </c>
      <c r="BC46" s="35" t="b">
        <v>0</v>
      </c>
      <c r="BD46" s="35" t="b">
        <v>0</v>
      </c>
      <c r="BE46" s="35" t="b">
        <v>0</v>
      </c>
      <c r="BF46" s="35" t="b">
        <v>0</v>
      </c>
      <c r="BG46" s="35" t="b">
        <v>0</v>
      </c>
      <c r="BH46" s="35" t="b">
        <v>0</v>
      </c>
      <c r="BI46" s="35" t="b">
        <v>0</v>
      </c>
      <c r="BJ46" s="35" t="b">
        <v>0</v>
      </c>
      <c r="BK46" s="35" t="b">
        <v>0</v>
      </c>
      <c r="BL46" s="35" t="b">
        <v>0</v>
      </c>
      <c r="BM46" s="35" t="b">
        <v>0</v>
      </c>
      <c r="BN46" s="35" t="b">
        <v>0</v>
      </c>
      <c r="BO46" s="35" t="b">
        <v>0</v>
      </c>
      <c r="BP46" s="35" t="b">
        <v>0</v>
      </c>
      <c r="BQ46" s="35" t="b">
        <v>0</v>
      </c>
      <c r="BR46" s="35" t="b">
        <v>0</v>
      </c>
      <c r="BS46" s="35" t="b">
        <v>0</v>
      </c>
      <c r="BT46" s="35" t="b">
        <v>0</v>
      </c>
      <c r="BU46" s="35" t="b">
        <v>0</v>
      </c>
      <c r="BV46" s="35" t="b">
        <v>0</v>
      </c>
      <c r="BW46" s="35" t="b">
        <v>0</v>
      </c>
      <c r="BX46" s="35" t="b">
        <v>1</v>
      </c>
      <c r="BY46" s="35" t="b">
        <v>0</v>
      </c>
      <c r="BZ46" s="35" t="b">
        <v>0</v>
      </c>
      <c r="CA46" s="35" t="b">
        <v>0</v>
      </c>
      <c r="CB46" s="35" t="b">
        <v>0</v>
      </c>
      <c r="CC46" s="35" t="b">
        <v>1</v>
      </c>
      <c r="CD46" s="35" t="b">
        <v>0</v>
      </c>
    </row>
    <row r="47" spans="1:82" x14ac:dyDescent="0.3">
      <c r="A47" s="35" t="s">
        <v>176</v>
      </c>
      <c r="B47" s="35" t="s">
        <v>176</v>
      </c>
      <c r="C47" s="35">
        <f t="shared" si="1"/>
        <v>6</v>
      </c>
      <c r="D47" s="35" t="b">
        <v>0</v>
      </c>
      <c r="E47" s="35" t="b">
        <v>0</v>
      </c>
      <c r="F47" s="35" t="b">
        <v>0</v>
      </c>
      <c r="G47" s="35" t="b">
        <v>0</v>
      </c>
      <c r="H47" s="35" t="b">
        <v>0</v>
      </c>
      <c r="I47" s="35" t="b">
        <v>0</v>
      </c>
      <c r="J47" s="35" t="b">
        <v>0</v>
      </c>
      <c r="K47" s="35" t="b">
        <v>0</v>
      </c>
      <c r="L47" s="35" t="b">
        <v>0</v>
      </c>
      <c r="M47" s="35" t="b">
        <v>0</v>
      </c>
      <c r="N47" s="35" t="b">
        <v>0</v>
      </c>
      <c r="O47" s="35" t="b">
        <v>0</v>
      </c>
      <c r="P47" s="35" t="b">
        <v>0</v>
      </c>
      <c r="Q47" s="35" t="b">
        <v>0</v>
      </c>
      <c r="R47" s="35" t="b">
        <v>0</v>
      </c>
      <c r="S47" s="35" t="b">
        <v>0</v>
      </c>
      <c r="T47" s="35" t="b">
        <v>0</v>
      </c>
      <c r="U47" s="35" t="b">
        <v>0</v>
      </c>
      <c r="V47" s="35" t="b">
        <v>0</v>
      </c>
      <c r="W47" s="35" t="b">
        <v>0</v>
      </c>
      <c r="X47" s="35" t="b">
        <v>0</v>
      </c>
      <c r="Y47" s="35" t="b">
        <v>0</v>
      </c>
      <c r="Z47" s="35" t="b">
        <v>0</v>
      </c>
      <c r="AA47" s="35" t="b">
        <v>0</v>
      </c>
      <c r="AB47" s="35" t="b">
        <v>0</v>
      </c>
      <c r="AC47" s="35" t="b">
        <v>0</v>
      </c>
      <c r="AD47" s="35" t="b">
        <v>0</v>
      </c>
      <c r="AE47" s="35" t="b">
        <v>0</v>
      </c>
      <c r="AF47" s="35" t="b">
        <v>0</v>
      </c>
      <c r="AG47" s="35" t="b">
        <v>0</v>
      </c>
      <c r="AH47" s="35" t="b">
        <v>1</v>
      </c>
      <c r="AI47" s="35" t="b">
        <v>0</v>
      </c>
      <c r="AJ47" s="35" t="b">
        <v>0</v>
      </c>
      <c r="AK47" s="35" t="b">
        <v>0</v>
      </c>
      <c r="AL47" s="35" t="b">
        <v>0</v>
      </c>
      <c r="AM47" s="35" t="b">
        <v>0</v>
      </c>
      <c r="AN47" s="35" t="b">
        <v>0</v>
      </c>
      <c r="AO47" s="35" t="b">
        <v>0</v>
      </c>
      <c r="AP47" s="35" t="b">
        <v>0</v>
      </c>
      <c r="AQ47" s="35" t="b">
        <v>0</v>
      </c>
      <c r="AR47" s="35" t="b">
        <v>0</v>
      </c>
      <c r="AS47" s="35" t="b">
        <v>1</v>
      </c>
      <c r="AT47" s="35" t="b">
        <v>0</v>
      </c>
      <c r="AU47" s="35"/>
      <c r="AV47" s="35" t="b">
        <v>0</v>
      </c>
      <c r="AW47" s="35" t="b">
        <v>0</v>
      </c>
      <c r="AX47" s="35" t="b">
        <v>0</v>
      </c>
      <c r="AY47" s="35" t="b">
        <v>0</v>
      </c>
      <c r="AZ47" s="35" t="b">
        <v>0</v>
      </c>
      <c r="BA47" s="35" t="b">
        <v>1</v>
      </c>
      <c r="BB47" s="35" t="b">
        <v>0</v>
      </c>
      <c r="BC47" s="35" t="b">
        <v>1</v>
      </c>
      <c r="BD47" s="35" t="b">
        <v>0</v>
      </c>
      <c r="BE47" s="35" t="b">
        <v>0</v>
      </c>
      <c r="BF47" s="35" t="b">
        <v>0</v>
      </c>
      <c r="BG47" s="35" t="b">
        <v>0</v>
      </c>
      <c r="BH47" s="35" t="b">
        <v>0</v>
      </c>
      <c r="BI47" s="35" t="b">
        <v>0</v>
      </c>
      <c r="BJ47" s="35" t="b">
        <v>1</v>
      </c>
      <c r="BK47" s="35" t="b">
        <v>0</v>
      </c>
      <c r="BL47" s="35" t="b">
        <v>0</v>
      </c>
      <c r="BM47" s="35" t="b">
        <v>0</v>
      </c>
      <c r="BN47" s="35" t="b">
        <v>0</v>
      </c>
      <c r="BO47" s="35" t="b">
        <v>1</v>
      </c>
      <c r="BP47" s="35" t="b">
        <v>0</v>
      </c>
      <c r="BQ47" s="35" t="b">
        <v>0</v>
      </c>
      <c r="BR47" s="35" t="b">
        <v>0</v>
      </c>
      <c r="BS47" s="35" t="b">
        <v>0</v>
      </c>
      <c r="BT47" s="35" t="b">
        <v>0</v>
      </c>
      <c r="BU47" s="35" t="b">
        <v>0</v>
      </c>
      <c r="BV47" s="35" t="b">
        <v>0</v>
      </c>
      <c r="BW47" s="35" t="b">
        <v>0</v>
      </c>
      <c r="BX47" s="35" t="b">
        <v>0</v>
      </c>
      <c r="BY47" s="35" t="b">
        <v>0</v>
      </c>
      <c r="BZ47" s="35" t="b">
        <v>0</v>
      </c>
      <c r="CA47" s="35" t="b">
        <v>0</v>
      </c>
      <c r="CB47" s="35" t="b">
        <v>1</v>
      </c>
      <c r="CC47" s="35" t="b">
        <v>0</v>
      </c>
      <c r="CD47" s="35" t="b">
        <v>0</v>
      </c>
    </row>
    <row r="48" spans="1:82" x14ac:dyDescent="0.3">
      <c r="A48" s="35" t="s">
        <v>177</v>
      </c>
      <c r="B48" s="35" t="s">
        <v>177</v>
      </c>
      <c r="C48" s="35">
        <f t="shared" si="1"/>
        <v>4</v>
      </c>
      <c r="D48" s="35" t="b">
        <v>0</v>
      </c>
      <c r="E48" s="35" t="b">
        <v>0</v>
      </c>
      <c r="F48" s="35" t="b">
        <v>0</v>
      </c>
      <c r="G48" s="35" t="b">
        <v>0</v>
      </c>
      <c r="H48" s="35" t="b">
        <v>0</v>
      </c>
      <c r="I48" s="35" t="b">
        <v>0</v>
      </c>
      <c r="J48" s="35" t="b">
        <v>0</v>
      </c>
      <c r="K48" s="35" t="b">
        <v>0</v>
      </c>
      <c r="L48" s="35" t="b">
        <v>0</v>
      </c>
      <c r="M48" s="35" t="b">
        <v>1</v>
      </c>
      <c r="N48" s="35" t="b">
        <v>0</v>
      </c>
      <c r="O48" s="35" t="b">
        <v>0</v>
      </c>
      <c r="P48" s="35" t="b">
        <v>0</v>
      </c>
      <c r="Q48" s="35" t="b">
        <v>0</v>
      </c>
      <c r="R48" s="35" t="b">
        <v>0</v>
      </c>
      <c r="S48" s="35" t="b">
        <v>0</v>
      </c>
      <c r="T48" s="35" t="b">
        <v>0</v>
      </c>
      <c r="U48" s="35" t="b">
        <v>0</v>
      </c>
      <c r="V48" s="35" t="b">
        <v>0</v>
      </c>
      <c r="W48" s="35" t="b">
        <v>0</v>
      </c>
      <c r="X48" s="35" t="b">
        <v>0</v>
      </c>
      <c r="Y48" s="35" t="b">
        <v>0</v>
      </c>
      <c r="Z48" s="35" t="b">
        <v>0</v>
      </c>
      <c r="AA48" s="35" t="b">
        <v>0</v>
      </c>
      <c r="AB48" s="35" t="b">
        <v>0</v>
      </c>
      <c r="AC48" s="35" t="b">
        <v>0</v>
      </c>
      <c r="AD48" s="35" t="b">
        <v>0</v>
      </c>
      <c r="AE48" s="35" t="b">
        <v>0</v>
      </c>
      <c r="AF48" s="35" t="b">
        <v>0</v>
      </c>
      <c r="AG48" s="35" t="b">
        <v>0</v>
      </c>
      <c r="AH48" s="35" t="b">
        <v>0</v>
      </c>
      <c r="AI48" s="35" t="b">
        <v>0</v>
      </c>
      <c r="AJ48" s="35" t="b">
        <v>1</v>
      </c>
      <c r="AK48" s="35" t="b">
        <v>0</v>
      </c>
      <c r="AL48" s="35" t="b">
        <v>0</v>
      </c>
      <c r="AM48" s="35" t="b">
        <v>0</v>
      </c>
      <c r="AN48" s="35" t="b">
        <v>0</v>
      </c>
      <c r="AO48" s="35" t="b">
        <v>0</v>
      </c>
      <c r="AP48" s="35" t="b">
        <v>1</v>
      </c>
      <c r="AQ48" s="35" t="b">
        <v>0</v>
      </c>
      <c r="AR48" s="35" t="b">
        <v>0</v>
      </c>
      <c r="AS48" s="35" t="b">
        <v>0</v>
      </c>
      <c r="AT48" s="35" t="b">
        <v>0</v>
      </c>
      <c r="AU48" s="35" t="b">
        <v>0</v>
      </c>
      <c r="AV48" s="35"/>
      <c r="AW48" s="35" t="b">
        <v>0</v>
      </c>
      <c r="AX48" s="35" t="b">
        <v>0</v>
      </c>
      <c r="AY48" s="35" t="b">
        <v>0</v>
      </c>
      <c r="AZ48" s="35" t="b">
        <v>0</v>
      </c>
      <c r="BA48" s="35" t="b">
        <v>0</v>
      </c>
      <c r="BB48" s="35" t="b">
        <v>1</v>
      </c>
      <c r="BC48" s="35" t="b">
        <v>0</v>
      </c>
      <c r="BD48" s="35" t="b">
        <v>0</v>
      </c>
      <c r="BE48" s="35" t="b">
        <v>0</v>
      </c>
      <c r="BF48" s="35" t="b">
        <v>0</v>
      </c>
      <c r="BG48" s="35" t="b">
        <v>0</v>
      </c>
      <c r="BH48" s="35" t="b">
        <v>0</v>
      </c>
      <c r="BI48" s="35" t="b">
        <v>0</v>
      </c>
      <c r="BJ48" s="35" t="b">
        <v>0</v>
      </c>
      <c r="BK48" s="35" t="b">
        <v>0</v>
      </c>
      <c r="BL48" s="35" t="b">
        <v>0</v>
      </c>
      <c r="BM48" s="35" t="b">
        <v>0</v>
      </c>
      <c r="BN48" s="35" t="b">
        <v>0</v>
      </c>
      <c r="BO48" s="35" t="b">
        <v>0</v>
      </c>
      <c r="BP48" s="35" t="b">
        <v>0</v>
      </c>
      <c r="BQ48" s="35" t="b">
        <v>0</v>
      </c>
      <c r="BR48" s="35" t="b">
        <v>0</v>
      </c>
      <c r="BS48" s="35" t="b">
        <v>0</v>
      </c>
      <c r="BT48" s="35" t="b">
        <v>0</v>
      </c>
      <c r="BU48" s="35" t="b">
        <v>0</v>
      </c>
      <c r="BV48" s="35" t="b">
        <v>0</v>
      </c>
      <c r="BW48" s="35" t="b">
        <v>0</v>
      </c>
      <c r="BX48" s="35" t="b">
        <v>0</v>
      </c>
      <c r="BY48" s="35" t="b">
        <v>0</v>
      </c>
      <c r="BZ48" s="35" t="b">
        <v>0</v>
      </c>
      <c r="CA48" s="35" t="b">
        <v>1</v>
      </c>
      <c r="CB48" s="35" t="b">
        <v>0</v>
      </c>
      <c r="CC48" s="35" t="b">
        <v>0</v>
      </c>
      <c r="CD48" s="35" t="b">
        <v>0</v>
      </c>
    </row>
    <row r="49" spans="1:82" x14ac:dyDescent="0.3">
      <c r="A49" s="35" t="s">
        <v>140</v>
      </c>
      <c r="B49" s="35" t="s">
        <v>140</v>
      </c>
      <c r="C49" s="35">
        <f t="shared" si="1"/>
        <v>4</v>
      </c>
      <c r="D49" s="35" t="b">
        <v>0</v>
      </c>
      <c r="E49" s="35" t="b">
        <v>0</v>
      </c>
      <c r="F49" s="35" t="b">
        <v>0</v>
      </c>
      <c r="G49" s="35" t="b">
        <v>0</v>
      </c>
      <c r="H49" s="35" t="b">
        <v>0</v>
      </c>
      <c r="I49" s="35" t="b">
        <v>0</v>
      </c>
      <c r="J49" s="35" t="b">
        <v>0</v>
      </c>
      <c r="K49" s="35" t="b">
        <v>0</v>
      </c>
      <c r="L49" s="35" t="b">
        <v>0</v>
      </c>
      <c r="M49" s="35" t="b">
        <v>0</v>
      </c>
      <c r="N49" s="35" t="b">
        <v>1</v>
      </c>
      <c r="O49" s="35" t="b">
        <v>0</v>
      </c>
      <c r="P49" s="35" t="b">
        <v>0</v>
      </c>
      <c r="Q49" s="35" t="b">
        <v>0</v>
      </c>
      <c r="R49" s="35" t="b">
        <v>0</v>
      </c>
      <c r="S49" s="35" t="b">
        <v>0</v>
      </c>
      <c r="T49" s="35" t="b">
        <v>0</v>
      </c>
      <c r="U49" s="35" t="b">
        <v>0</v>
      </c>
      <c r="V49" s="35" t="b">
        <v>0</v>
      </c>
      <c r="W49" s="35" t="b">
        <v>0</v>
      </c>
      <c r="X49" s="35" t="b">
        <v>0</v>
      </c>
      <c r="Y49" s="35" t="b">
        <v>0</v>
      </c>
      <c r="Z49" s="35" t="b">
        <v>0</v>
      </c>
      <c r="AA49" s="35" t="b">
        <v>0</v>
      </c>
      <c r="AB49" s="35" t="b">
        <v>0</v>
      </c>
      <c r="AC49" s="35" t="b">
        <v>0</v>
      </c>
      <c r="AD49" s="35" t="b">
        <v>0</v>
      </c>
      <c r="AE49" s="35" t="b">
        <v>0</v>
      </c>
      <c r="AF49" s="35" t="b">
        <v>0</v>
      </c>
      <c r="AG49" s="35" t="b">
        <v>1</v>
      </c>
      <c r="AH49" s="35" t="b">
        <v>0</v>
      </c>
      <c r="AI49" s="35" t="b">
        <v>0</v>
      </c>
      <c r="AJ49" s="35" t="b">
        <v>0</v>
      </c>
      <c r="AK49" s="35" t="b">
        <v>0</v>
      </c>
      <c r="AL49" s="35" t="b">
        <v>0</v>
      </c>
      <c r="AM49" s="35" t="b">
        <v>0</v>
      </c>
      <c r="AN49" s="35" t="b">
        <v>0</v>
      </c>
      <c r="AO49" s="35" t="b">
        <v>0</v>
      </c>
      <c r="AP49" s="35" t="b">
        <v>0</v>
      </c>
      <c r="AQ49" s="35" t="b">
        <v>0</v>
      </c>
      <c r="AR49" s="35" t="b">
        <v>0</v>
      </c>
      <c r="AS49" s="35" t="b">
        <v>0</v>
      </c>
      <c r="AT49" s="35" t="b">
        <v>0</v>
      </c>
      <c r="AU49" s="35" t="b">
        <v>0</v>
      </c>
      <c r="AV49" s="35" t="b">
        <v>0</v>
      </c>
      <c r="AW49" s="35"/>
      <c r="AX49" s="35" t="b">
        <v>0</v>
      </c>
      <c r="AY49" s="35" t="b">
        <v>0</v>
      </c>
      <c r="AZ49" s="35" t="b">
        <v>0</v>
      </c>
      <c r="BA49" s="35" t="b">
        <v>0</v>
      </c>
      <c r="BB49" s="35" t="b">
        <v>0</v>
      </c>
      <c r="BC49" s="35" t="b">
        <v>0</v>
      </c>
      <c r="BD49" s="35" t="b">
        <v>0</v>
      </c>
      <c r="BE49" s="35" t="b">
        <v>0</v>
      </c>
      <c r="BF49" s="35" t="b">
        <v>0</v>
      </c>
      <c r="BG49" s="35" t="b">
        <v>0</v>
      </c>
      <c r="BH49" s="35" t="b">
        <v>0</v>
      </c>
      <c r="BI49" s="35" t="b">
        <v>0</v>
      </c>
      <c r="BJ49" s="35" t="b">
        <v>0</v>
      </c>
      <c r="BK49" s="35" t="b">
        <v>0</v>
      </c>
      <c r="BL49" s="35" t="b">
        <v>0</v>
      </c>
      <c r="BM49" s="35" t="b">
        <v>0</v>
      </c>
      <c r="BN49" s="35" t="b">
        <v>0</v>
      </c>
      <c r="BO49" s="35" t="b">
        <v>0</v>
      </c>
      <c r="BP49" s="35" t="b">
        <v>0</v>
      </c>
      <c r="BQ49" s="35" t="b">
        <v>0</v>
      </c>
      <c r="BR49" s="35" t="b">
        <v>1</v>
      </c>
      <c r="BS49" s="35" t="b">
        <v>0</v>
      </c>
      <c r="BT49" s="35" t="b">
        <v>0</v>
      </c>
      <c r="BU49" s="35" t="b">
        <v>0</v>
      </c>
      <c r="BV49" s="35" t="b">
        <v>0</v>
      </c>
      <c r="BW49" s="35" t="b">
        <v>1</v>
      </c>
      <c r="BX49" s="35" t="b">
        <v>0</v>
      </c>
      <c r="BY49" s="35" t="b">
        <v>0</v>
      </c>
      <c r="BZ49" s="35" t="b">
        <v>0</v>
      </c>
      <c r="CA49" s="35" t="b">
        <v>0</v>
      </c>
      <c r="CB49" s="35" t="b">
        <v>0</v>
      </c>
      <c r="CC49" s="35" t="b">
        <v>0</v>
      </c>
      <c r="CD49" s="35" t="b">
        <v>1</v>
      </c>
    </row>
    <row r="50" spans="1:82" x14ac:dyDescent="0.3">
      <c r="A50" s="35" t="s">
        <v>120</v>
      </c>
      <c r="B50" s="35" t="s">
        <v>120</v>
      </c>
      <c r="C50" s="35">
        <f t="shared" si="1"/>
        <v>6</v>
      </c>
      <c r="D50" s="35" t="b">
        <v>0</v>
      </c>
      <c r="E50" s="35" t="b">
        <v>0</v>
      </c>
      <c r="F50" s="35" t="b">
        <v>0</v>
      </c>
      <c r="G50" s="35" t="b">
        <v>0</v>
      </c>
      <c r="H50" s="35" t="b">
        <v>0</v>
      </c>
      <c r="I50" s="35" t="b">
        <v>0</v>
      </c>
      <c r="J50" s="35" t="b">
        <v>0</v>
      </c>
      <c r="K50" s="35" t="b">
        <v>0</v>
      </c>
      <c r="L50" s="35" t="b">
        <v>0</v>
      </c>
      <c r="M50" s="35" t="b">
        <v>0</v>
      </c>
      <c r="N50" s="35" t="b">
        <v>0</v>
      </c>
      <c r="O50" s="35" t="b">
        <v>0</v>
      </c>
      <c r="P50" s="35" t="b">
        <v>0</v>
      </c>
      <c r="Q50" s="35" t="b">
        <v>0</v>
      </c>
      <c r="R50" s="35" t="b">
        <v>0</v>
      </c>
      <c r="S50" s="35" t="b">
        <v>0</v>
      </c>
      <c r="T50" s="35" t="b">
        <v>0</v>
      </c>
      <c r="U50" s="35" t="b">
        <v>0</v>
      </c>
      <c r="V50" s="35" t="b">
        <v>0</v>
      </c>
      <c r="W50" s="35" t="b">
        <v>0</v>
      </c>
      <c r="X50" s="35" t="b">
        <v>0</v>
      </c>
      <c r="Y50" s="35" t="b">
        <v>0</v>
      </c>
      <c r="Z50" s="35" t="b">
        <v>0</v>
      </c>
      <c r="AA50" s="35" t="b">
        <v>0</v>
      </c>
      <c r="AB50" s="35" t="b">
        <v>1</v>
      </c>
      <c r="AC50" s="35" t="b">
        <v>0</v>
      </c>
      <c r="AD50" s="35" t="b">
        <v>0</v>
      </c>
      <c r="AE50" s="35" t="b">
        <v>0</v>
      </c>
      <c r="AF50" s="35" t="b">
        <v>0</v>
      </c>
      <c r="AG50" s="35" t="b">
        <v>0</v>
      </c>
      <c r="AH50" s="35" t="b">
        <v>0</v>
      </c>
      <c r="AI50" s="35" t="b">
        <v>0</v>
      </c>
      <c r="AJ50" s="35" t="b">
        <v>1</v>
      </c>
      <c r="AK50" s="35" t="b">
        <v>0</v>
      </c>
      <c r="AL50" s="35" t="b">
        <v>0</v>
      </c>
      <c r="AM50" s="35" t="b">
        <v>0</v>
      </c>
      <c r="AN50" s="35" t="b">
        <v>0</v>
      </c>
      <c r="AO50" s="35" t="b">
        <v>0</v>
      </c>
      <c r="AP50" s="35" t="b">
        <v>1</v>
      </c>
      <c r="AQ50" s="35" t="b">
        <v>0</v>
      </c>
      <c r="AR50" s="35" t="b">
        <v>0</v>
      </c>
      <c r="AS50" s="35" t="b">
        <v>0</v>
      </c>
      <c r="AT50" s="35" t="b">
        <v>0</v>
      </c>
      <c r="AU50" s="35" t="b">
        <v>0</v>
      </c>
      <c r="AV50" s="35" t="b">
        <v>0</v>
      </c>
      <c r="AW50" s="35" t="b">
        <v>0</v>
      </c>
      <c r="AX50" s="35"/>
      <c r="AY50" s="35" t="b">
        <v>0</v>
      </c>
      <c r="AZ50" s="35" t="b">
        <v>0</v>
      </c>
      <c r="BA50" s="35" t="b">
        <v>0</v>
      </c>
      <c r="BB50" s="35" t="b">
        <v>0</v>
      </c>
      <c r="BC50" s="35" t="b">
        <v>0</v>
      </c>
      <c r="BD50" s="35" t="b">
        <v>0</v>
      </c>
      <c r="BE50" s="35" t="b">
        <v>1</v>
      </c>
      <c r="BF50" s="35" t="b">
        <v>0</v>
      </c>
      <c r="BG50" s="35" t="b">
        <v>1</v>
      </c>
      <c r="BH50" s="35" t="b">
        <v>0</v>
      </c>
      <c r="BI50" s="35" t="b">
        <v>0</v>
      </c>
      <c r="BJ50" s="35" t="b">
        <v>0</v>
      </c>
      <c r="BK50" s="35" t="b">
        <v>0</v>
      </c>
      <c r="BL50" s="35" t="b">
        <v>0</v>
      </c>
      <c r="BM50" s="35" t="b">
        <v>0</v>
      </c>
      <c r="BN50" s="35" t="b">
        <v>0</v>
      </c>
      <c r="BO50" s="35" t="b">
        <v>0</v>
      </c>
      <c r="BP50" s="35" t="b">
        <v>1</v>
      </c>
      <c r="BQ50" s="35" t="b">
        <v>0</v>
      </c>
      <c r="BR50" s="35" t="b">
        <v>0</v>
      </c>
      <c r="BS50" s="35" t="b">
        <v>0</v>
      </c>
      <c r="BT50" s="35" t="b">
        <v>0</v>
      </c>
      <c r="BU50" s="35" t="b">
        <v>0</v>
      </c>
      <c r="BV50" s="35" t="b">
        <v>0</v>
      </c>
      <c r="BW50" s="35" t="b">
        <v>0</v>
      </c>
      <c r="BX50" s="35" t="b">
        <v>0</v>
      </c>
      <c r="BY50" s="35" t="b">
        <v>1</v>
      </c>
      <c r="BZ50" s="35" t="b">
        <v>0</v>
      </c>
      <c r="CA50" s="35" t="b">
        <v>0</v>
      </c>
      <c r="CB50" s="35" t="b">
        <v>0</v>
      </c>
      <c r="CC50" s="35" t="b">
        <v>0</v>
      </c>
      <c r="CD50" s="35" t="b">
        <v>0</v>
      </c>
    </row>
    <row r="51" spans="1:82" x14ac:dyDescent="0.3">
      <c r="A51" s="35" t="s">
        <v>121</v>
      </c>
      <c r="B51" s="35" t="s">
        <v>121</v>
      </c>
      <c r="C51" s="35">
        <f t="shared" si="1"/>
        <v>4</v>
      </c>
      <c r="D51" s="35" t="b">
        <v>0</v>
      </c>
      <c r="E51" s="35" t="b">
        <v>0</v>
      </c>
      <c r="F51" s="35" t="b">
        <v>0</v>
      </c>
      <c r="G51" s="35" t="b">
        <v>0</v>
      </c>
      <c r="H51" s="35" t="b">
        <v>0</v>
      </c>
      <c r="I51" s="35" t="b">
        <v>0</v>
      </c>
      <c r="J51" s="35" t="b">
        <v>0</v>
      </c>
      <c r="K51" s="35" t="b">
        <v>1</v>
      </c>
      <c r="L51" s="35" t="b">
        <v>0</v>
      </c>
      <c r="M51" s="35" t="b">
        <v>0</v>
      </c>
      <c r="N51" s="35" t="b">
        <v>0</v>
      </c>
      <c r="O51" s="35" t="b">
        <v>1</v>
      </c>
      <c r="P51" s="35" t="b">
        <v>0</v>
      </c>
      <c r="Q51" s="35" t="b">
        <v>0</v>
      </c>
      <c r="R51" s="35" t="b">
        <v>0</v>
      </c>
      <c r="S51" s="35" t="b">
        <v>0</v>
      </c>
      <c r="T51" s="35" t="b">
        <v>0</v>
      </c>
      <c r="U51" s="35" t="b">
        <v>0</v>
      </c>
      <c r="V51" s="35" t="b">
        <v>0</v>
      </c>
      <c r="W51" s="35" t="b">
        <v>0</v>
      </c>
      <c r="X51" s="35" t="b">
        <v>0</v>
      </c>
      <c r="Y51" s="35" t="b">
        <v>0</v>
      </c>
      <c r="Z51" s="35" t="b">
        <v>0</v>
      </c>
      <c r="AA51" s="35" t="b">
        <v>0</v>
      </c>
      <c r="AB51" s="35" t="b">
        <v>0</v>
      </c>
      <c r="AC51" s="35" t="b">
        <v>0</v>
      </c>
      <c r="AD51" s="35" t="b">
        <v>0</v>
      </c>
      <c r="AE51" s="35" t="b">
        <v>1</v>
      </c>
      <c r="AF51" s="35" t="b">
        <v>0</v>
      </c>
      <c r="AG51" s="35" t="b">
        <v>0</v>
      </c>
      <c r="AH51" s="35" t="b">
        <v>0</v>
      </c>
      <c r="AI51" s="35" t="b">
        <v>0</v>
      </c>
      <c r="AJ51" s="35" t="b">
        <v>0</v>
      </c>
      <c r="AK51" s="35" t="b">
        <v>1</v>
      </c>
      <c r="AL51" s="35" t="b">
        <v>0</v>
      </c>
      <c r="AM51" s="35" t="b">
        <v>0</v>
      </c>
      <c r="AN51" s="35" t="b">
        <v>0</v>
      </c>
      <c r="AO51" s="35" t="b">
        <v>0</v>
      </c>
      <c r="AP51" s="35" t="b">
        <v>0</v>
      </c>
      <c r="AQ51" s="35" t="b">
        <v>0</v>
      </c>
      <c r="AR51" s="35" t="b">
        <v>0</v>
      </c>
      <c r="AS51" s="35" t="b">
        <v>0</v>
      </c>
      <c r="AT51" s="35" t="b">
        <v>0</v>
      </c>
      <c r="AU51" s="35" t="b">
        <v>0</v>
      </c>
      <c r="AV51" s="35" t="b">
        <v>0</v>
      </c>
      <c r="AW51" s="35" t="b">
        <v>0</v>
      </c>
      <c r="AX51" s="35" t="b">
        <v>0</v>
      </c>
      <c r="AY51" s="35"/>
      <c r="AZ51" s="35" t="b">
        <v>0</v>
      </c>
      <c r="BA51" s="35" t="b">
        <v>0</v>
      </c>
      <c r="BB51" s="35" t="b">
        <v>0</v>
      </c>
      <c r="BC51" s="35" t="b">
        <v>0</v>
      </c>
      <c r="BD51" s="35" t="b">
        <v>0</v>
      </c>
      <c r="BE51" s="35" t="b">
        <v>0</v>
      </c>
      <c r="BF51" s="35" t="b">
        <v>0</v>
      </c>
      <c r="BG51" s="35" t="b">
        <v>0</v>
      </c>
      <c r="BH51" s="35" t="b">
        <v>0</v>
      </c>
      <c r="BI51" s="35" t="b">
        <v>0</v>
      </c>
      <c r="BJ51" s="35" t="b">
        <v>0</v>
      </c>
      <c r="BK51" s="35" t="b">
        <v>0</v>
      </c>
      <c r="BL51" s="35" t="b">
        <v>0</v>
      </c>
      <c r="BM51" s="35" t="b">
        <v>0</v>
      </c>
      <c r="BN51" s="35" t="b">
        <v>0</v>
      </c>
      <c r="BO51" s="35" t="b">
        <v>0</v>
      </c>
      <c r="BP51" s="35" t="b">
        <v>0</v>
      </c>
      <c r="BQ51" s="35" t="b">
        <v>0</v>
      </c>
      <c r="BR51" s="35" t="b">
        <v>0</v>
      </c>
      <c r="BS51" s="35" t="b">
        <v>0</v>
      </c>
      <c r="BT51" s="35" t="b">
        <v>1</v>
      </c>
      <c r="BU51" s="35" t="b">
        <v>0</v>
      </c>
      <c r="BV51" s="35" t="b">
        <v>0</v>
      </c>
      <c r="BW51" s="35" t="b">
        <v>0</v>
      </c>
      <c r="BX51" s="35" t="b">
        <v>0</v>
      </c>
      <c r="BY51" s="35" t="b">
        <v>0</v>
      </c>
      <c r="BZ51" s="35" t="b">
        <v>0</v>
      </c>
      <c r="CA51" s="35" t="b">
        <v>0</v>
      </c>
      <c r="CB51" s="35" t="b">
        <v>0</v>
      </c>
      <c r="CC51" s="35" t="b">
        <v>0</v>
      </c>
      <c r="CD51" s="35" t="b">
        <v>0</v>
      </c>
    </row>
    <row r="52" spans="1:82" x14ac:dyDescent="0.3">
      <c r="A52" s="35" t="s">
        <v>122</v>
      </c>
      <c r="B52" s="35" t="s">
        <v>122</v>
      </c>
      <c r="C52" s="35">
        <f t="shared" si="1"/>
        <v>6</v>
      </c>
      <c r="D52" s="35" t="b">
        <v>0</v>
      </c>
      <c r="E52" s="35" t="b">
        <v>0</v>
      </c>
      <c r="F52" s="35" t="b">
        <v>0</v>
      </c>
      <c r="G52" s="35" t="b">
        <v>0</v>
      </c>
      <c r="H52" s="35" t="b">
        <v>0</v>
      </c>
      <c r="I52" s="35" t="b">
        <v>0</v>
      </c>
      <c r="J52" s="35" t="b">
        <v>0</v>
      </c>
      <c r="K52" s="35" t="b">
        <v>0</v>
      </c>
      <c r="L52" s="35" t="b">
        <v>1</v>
      </c>
      <c r="M52" s="35" t="b">
        <v>0</v>
      </c>
      <c r="N52" s="35" t="b">
        <v>0</v>
      </c>
      <c r="O52" s="35" t="b">
        <v>0</v>
      </c>
      <c r="P52" s="35" t="b">
        <v>0</v>
      </c>
      <c r="Q52" s="35" t="b">
        <v>0</v>
      </c>
      <c r="R52" s="35" t="b">
        <v>0</v>
      </c>
      <c r="S52" s="35" t="b">
        <v>0</v>
      </c>
      <c r="T52" s="35" t="b">
        <v>0</v>
      </c>
      <c r="U52" s="35" t="b">
        <v>0</v>
      </c>
      <c r="V52" s="35" t="b">
        <v>0</v>
      </c>
      <c r="W52" s="35" t="b">
        <v>0</v>
      </c>
      <c r="X52" s="35" t="b">
        <v>0</v>
      </c>
      <c r="Y52" s="35" t="b">
        <v>1</v>
      </c>
      <c r="Z52" s="35" t="b">
        <v>0</v>
      </c>
      <c r="AA52" s="35" t="b">
        <v>0</v>
      </c>
      <c r="AB52" s="35" t="b">
        <v>0</v>
      </c>
      <c r="AC52" s="35" t="b">
        <v>1</v>
      </c>
      <c r="AD52" s="35" t="b">
        <v>0</v>
      </c>
      <c r="AE52" s="35" t="b">
        <v>0</v>
      </c>
      <c r="AF52" s="35" t="b">
        <v>0</v>
      </c>
      <c r="AG52" s="35" t="b">
        <v>0</v>
      </c>
      <c r="AH52" s="35" t="b">
        <v>0</v>
      </c>
      <c r="AI52" s="35" t="b">
        <v>0</v>
      </c>
      <c r="AJ52" s="35" t="b">
        <v>0</v>
      </c>
      <c r="AK52" s="35" t="b">
        <v>0</v>
      </c>
      <c r="AL52" s="35" t="b">
        <v>1</v>
      </c>
      <c r="AM52" s="35" t="b">
        <v>1</v>
      </c>
      <c r="AN52" s="35" t="b">
        <v>0</v>
      </c>
      <c r="AO52" s="35" t="b">
        <v>0</v>
      </c>
      <c r="AP52" s="35" t="b">
        <v>0</v>
      </c>
      <c r="AQ52" s="35" t="b">
        <v>0</v>
      </c>
      <c r="AR52" s="35" t="b">
        <v>0</v>
      </c>
      <c r="AS52" s="35" t="b">
        <v>0</v>
      </c>
      <c r="AT52" s="35" t="b">
        <v>0</v>
      </c>
      <c r="AU52" s="35" t="b">
        <v>0</v>
      </c>
      <c r="AV52" s="35" t="b">
        <v>0</v>
      </c>
      <c r="AW52" s="35" t="b">
        <v>0</v>
      </c>
      <c r="AX52" s="35" t="b">
        <v>0</v>
      </c>
      <c r="AY52" s="35" t="b">
        <v>0</v>
      </c>
      <c r="AZ52" s="35"/>
      <c r="BA52" s="35" t="b">
        <v>0</v>
      </c>
      <c r="BB52" s="35" t="b">
        <v>0</v>
      </c>
      <c r="BC52" s="35" t="b">
        <v>0</v>
      </c>
      <c r="BD52" s="35" t="b">
        <v>0</v>
      </c>
      <c r="BE52" s="35" t="b">
        <v>0</v>
      </c>
      <c r="BF52" s="35" t="b">
        <v>0</v>
      </c>
      <c r="BG52" s="35" t="b">
        <v>0</v>
      </c>
      <c r="BH52" s="35" t="b">
        <v>0</v>
      </c>
      <c r="BI52" s="35" t="b">
        <v>0</v>
      </c>
      <c r="BJ52" s="35" t="b">
        <v>0</v>
      </c>
      <c r="BK52" s="35" t="b">
        <v>0</v>
      </c>
      <c r="BL52" s="35" t="b">
        <v>0</v>
      </c>
      <c r="BM52" s="35" t="b">
        <v>0</v>
      </c>
      <c r="BN52" s="35" t="b">
        <v>0</v>
      </c>
      <c r="BO52" s="35" t="b">
        <v>1</v>
      </c>
      <c r="BP52" s="35" t="b">
        <v>0</v>
      </c>
      <c r="BQ52" s="35" t="b">
        <v>0</v>
      </c>
      <c r="BR52" s="35" t="b">
        <v>0</v>
      </c>
      <c r="BS52" s="35" t="b">
        <v>0</v>
      </c>
      <c r="BT52" s="35" t="b">
        <v>0</v>
      </c>
      <c r="BU52" s="35" t="b">
        <v>0</v>
      </c>
      <c r="BV52" s="35" t="b">
        <v>0</v>
      </c>
      <c r="BW52" s="35" t="b">
        <v>0</v>
      </c>
      <c r="BX52" s="35" t="b">
        <v>1</v>
      </c>
      <c r="BY52" s="35" t="b">
        <v>0</v>
      </c>
      <c r="BZ52" s="35" t="b">
        <v>0</v>
      </c>
      <c r="CA52" s="35" t="b">
        <v>0</v>
      </c>
      <c r="CB52" s="35" t="b">
        <v>0</v>
      </c>
      <c r="CC52" s="35" t="b">
        <v>0</v>
      </c>
      <c r="CD52" s="35" t="b">
        <v>0</v>
      </c>
    </row>
    <row r="53" spans="1:82" x14ac:dyDescent="0.3">
      <c r="A53" s="35" t="s">
        <v>178</v>
      </c>
      <c r="B53" s="35" t="s">
        <v>178</v>
      </c>
      <c r="C53" s="35">
        <f t="shared" si="1"/>
        <v>3</v>
      </c>
      <c r="D53" s="35" t="b">
        <v>0</v>
      </c>
      <c r="E53" s="35" t="b">
        <v>0</v>
      </c>
      <c r="F53" s="35" t="b">
        <v>0</v>
      </c>
      <c r="G53" s="35" t="b">
        <v>0</v>
      </c>
      <c r="H53" s="35" t="b">
        <v>0</v>
      </c>
      <c r="I53" s="35" t="b">
        <v>0</v>
      </c>
      <c r="J53" s="35" t="b">
        <v>0</v>
      </c>
      <c r="K53" s="35" t="b">
        <v>0</v>
      </c>
      <c r="L53" s="35" t="b">
        <v>0</v>
      </c>
      <c r="M53" s="35" t="b">
        <v>1</v>
      </c>
      <c r="N53" s="35" t="b">
        <v>0</v>
      </c>
      <c r="O53" s="35" t="b">
        <v>0</v>
      </c>
      <c r="P53" s="35" t="b">
        <v>0</v>
      </c>
      <c r="Q53" s="35" t="b">
        <v>0</v>
      </c>
      <c r="R53" s="35" t="b">
        <v>0</v>
      </c>
      <c r="S53" s="35" t="b">
        <v>0</v>
      </c>
      <c r="T53" s="35" t="b">
        <v>0</v>
      </c>
      <c r="U53" s="35" t="b">
        <v>0</v>
      </c>
      <c r="V53" s="35" t="b">
        <v>0</v>
      </c>
      <c r="W53" s="35" t="b">
        <v>0</v>
      </c>
      <c r="X53" s="35" t="b">
        <v>0</v>
      </c>
      <c r="Y53" s="35" t="b">
        <v>0</v>
      </c>
      <c r="Z53" s="35" t="b">
        <v>0</v>
      </c>
      <c r="AA53" s="35" t="b">
        <v>0</v>
      </c>
      <c r="AB53" s="35" t="b">
        <v>0</v>
      </c>
      <c r="AC53" s="35" t="b">
        <v>0</v>
      </c>
      <c r="AD53" s="35" t="b">
        <v>0</v>
      </c>
      <c r="AE53" s="35" t="b">
        <v>0</v>
      </c>
      <c r="AF53" s="35" t="b">
        <v>0</v>
      </c>
      <c r="AG53" s="35" t="b">
        <v>0</v>
      </c>
      <c r="AH53" s="35" t="b">
        <v>0</v>
      </c>
      <c r="AI53" s="35" t="b">
        <v>0</v>
      </c>
      <c r="AJ53" s="35" t="b">
        <v>0</v>
      </c>
      <c r="AK53" s="35" t="b">
        <v>0</v>
      </c>
      <c r="AL53" s="35" t="b">
        <v>0</v>
      </c>
      <c r="AM53" s="35" t="b">
        <v>0</v>
      </c>
      <c r="AN53" s="35" t="b">
        <v>0</v>
      </c>
      <c r="AO53" s="35" t="b">
        <v>0</v>
      </c>
      <c r="AP53" s="35" t="b">
        <v>0</v>
      </c>
      <c r="AQ53" s="35" t="b">
        <v>0</v>
      </c>
      <c r="AR53" s="35" t="b">
        <v>0</v>
      </c>
      <c r="AS53" s="35" t="b">
        <v>1</v>
      </c>
      <c r="AT53" s="35" t="b">
        <v>0</v>
      </c>
      <c r="AU53" s="35" t="b">
        <v>1</v>
      </c>
      <c r="AV53" s="35" t="b">
        <v>0</v>
      </c>
      <c r="AW53" s="35" t="b">
        <v>0</v>
      </c>
      <c r="AX53" s="35" t="b">
        <v>0</v>
      </c>
      <c r="AY53" s="35" t="b">
        <v>0</v>
      </c>
      <c r="AZ53" s="35" t="b">
        <v>0</v>
      </c>
      <c r="BA53" s="35"/>
      <c r="BB53" s="35" t="b">
        <v>0</v>
      </c>
      <c r="BC53" s="35" t="b">
        <v>1</v>
      </c>
      <c r="BD53" s="35" t="b">
        <v>0</v>
      </c>
      <c r="BE53" s="35" t="b">
        <v>0</v>
      </c>
      <c r="BF53" s="35" t="b">
        <v>0</v>
      </c>
      <c r="BG53" s="35" t="b">
        <v>0</v>
      </c>
      <c r="BH53" s="35" t="b">
        <v>0</v>
      </c>
      <c r="BI53" s="35" t="b">
        <v>0</v>
      </c>
      <c r="BJ53" s="35" t="b">
        <v>0</v>
      </c>
      <c r="BK53" s="35" t="b">
        <v>0</v>
      </c>
      <c r="BL53" s="35" t="b">
        <v>0</v>
      </c>
      <c r="BM53" s="35" t="b">
        <v>0</v>
      </c>
      <c r="BN53" s="35" t="b">
        <v>0</v>
      </c>
      <c r="BO53" s="35" t="b">
        <v>0</v>
      </c>
      <c r="BP53" s="35" t="b">
        <v>0</v>
      </c>
      <c r="BQ53" s="35" t="b">
        <v>0</v>
      </c>
      <c r="BR53" s="35" t="b">
        <v>0</v>
      </c>
      <c r="BS53" s="35" t="b">
        <v>0</v>
      </c>
      <c r="BT53" s="35" t="b">
        <v>0</v>
      </c>
      <c r="BU53" s="35" t="b">
        <v>0</v>
      </c>
      <c r="BV53" s="35" t="b">
        <v>0</v>
      </c>
      <c r="BW53" s="35" t="b">
        <v>0</v>
      </c>
      <c r="BX53" s="35" t="b">
        <v>0</v>
      </c>
      <c r="BY53" s="35" t="b">
        <v>0</v>
      </c>
      <c r="BZ53" s="35" t="b">
        <v>0</v>
      </c>
      <c r="CA53" s="35" t="b">
        <v>0</v>
      </c>
      <c r="CB53" s="35" t="b">
        <v>0</v>
      </c>
      <c r="CC53" s="35" t="b">
        <v>0</v>
      </c>
      <c r="CD53" s="35" t="b">
        <v>0</v>
      </c>
    </row>
    <row r="54" spans="1:82" x14ac:dyDescent="0.3">
      <c r="A54" s="35" t="s">
        <v>179</v>
      </c>
      <c r="B54" s="35" t="s">
        <v>179</v>
      </c>
      <c r="C54" s="35">
        <f t="shared" si="1"/>
        <v>6</v>
      </c>
      <c r="D54" s="35" t="b">
        <v>0</v>
      </c>
      <c r="E54" s="35" t="b">
        <v>0</v>
      </c>
      <c r="F54" s="35" t="b">
        <v>1</v>
      </c>
      <c r="G54" s="35" t="b">
        <v>0</v>
      </c>
      <c r="H54" s="35" t="b">
        <v>0</v>
      </c>
      <c r="I54" s="35" t="b">
        <v>0</v>
      </c>
      <c r="J54" s="35" t="b">
        <v>0</v>
      </c>
      <c r="K54" s="35" t="b">
        <v>0</v>
      </c>
      <c r="L54" s="35" t="b">
        <v>0</v>
      </c>
      <c r="M54" s="35" t="b">
        <v>0</v>
      </c>
      <c r="N54" s="35" t="b">
        <v>0</v>
      </c>
      <c r="O54" s="35" t="b">
        <v>0</v>
      </c>
      <c r="P54" s="35" t="b">
        <v>0</v>
      </c>
      <c r="Q54" s="35" t="b">
        <v>0</v>
      </c>
      <c r="R54" s="35" t="b">
        <v>0</v>
      </c>
      <c r="S54" s="35" t="b">
        <v>0</v>
      </c>
      <c r="T54" s="35" t="b">
        <v>0</v>
      </c>
      <c r="U54" s="35" t="b">
        <v>0</v>
      </c>
      <c r="V54" s="35" t="b">
        <v>0</v>
      </c>
      <c r="W54" s="35" t="b">
        <v>0</v>
      </c>
      <c r="X54" s="35" t="b">
        <v>0</v>
      </c>
      <c r="Y54" s="35" t="b">
        <v>0</v>
      </c>
      <c r="Z54" s="35" t="b">
        <v>0</v>
      </c>
      <c r="AA54" s="35" t="b">
        <v>1</v>
      </c>
      <c r="AB54" s="35" t="b">
        <v>0</v>
      </c>
      <c r="AC54" s="35" t="b">
        <v>0</v>
      </c>
      <c r="AD54" s="35" t="b">
        <v>1</v>
      </c>
      <c r="AE54" s="35" t="b">
        <v>0</v>
      </c>
      <c r="AF54" s="35" t="b">
        <v>1</v>
      </c>
      <c r="AG54" s="35" t="b">
        <v>0</v>
      </c>
      <c r="AH54" s="35" t="b">
        <v>0</v>
      </c>
      <c r="AI54" s="35" t="b">
        <v>0</v>
      </c>
      <c r="AJ54" s="35" t="b">
        <v>0</v>
      </c>
      <c r="AK54" s="35" t="b">
        <v>0</v>
      </c>
      <c r="AL54" s="35" t="b">
        <v>0</v>
      </c>
      <c r="AM54" s="35" t="b">
        <v>0</v>
      </c>
      <c r="AN54" s="35" t="b">
        <v>0</v>
      </c>
      <c r="AO54" s="35" t="b">
        <v>0</v>
      </c>
      <c r="AP54" s="35" t="b">
        <v>1</v>
      </c>
      <c r="AQ54" s="35" t="b">
        <v>0</v>
      </c>
      <c r="AR54" s="35" t="b">
        <v>0</v>
      </c>
      <c r="AS54" s="35" t="b">
        <v>0</v>
      </c>
      <c r="AT54" s="35" t="b">
        <v>0</v>
      </c>
      <c r="AU54" s="35" t="b">
        <v>0</v>
      </c>
      <c r="AV54" s="35" t="b">
        <v>1</v>
      </c>
      <c r="AW54" s="35" t="b">
        <v>0</v>
      </c>
      <c r="AX54" s="35" t="b">
        <v>0</v>
      </c>
      <c r="AY54" s="35" t="b">
        <v>0</v>
      </c>
      <c r="AZ54" s="35" t="b">
        <v>0</v>
      </c>
      <c r="BA54" s="35" t="b">
        <v>0</v>
      </c>
      <c r="BB54" s="35"/>
      <c r="BC54" s="35" t="b">
        <v>0</v>
      </c>
      <c r="BD54" s="35" t="b">
        <v>0</v>
      </c>
      <c r="BE54" s="35" t="b">
        <v>0</v>
      </c>
      <c r="BF54" s="35" t="b">
        <v>0</v>
      </c>
      <c r="BG54" s="35" t="b">
        <v>0</v>
      </c>
      <c r="BH54" s="35" t="b">
        <v>0</v>
      </c>
      <c r="BI54" s="35" t="b">
        <v>0</v>
      </c>
      <c r="BJ54" s="35" t="b">
        <v>0</v>
      </c>
      <c r="BK54" s="35" t="b">
        <v>0</v>
      </c>
      <c r="BL54" s="35" t="b">
        <v>0</v>
      </c>
      <c r="BM54" s="35" t="b">
        <v>0</v>
      </c>
      <c r="BN54" s="35" t="b">
        <v>0</v>
      </c>
      <c r="BO54" s="35" t="b">
        <v>0</v>
      </c>
      <c r="BP54" s="35" t="b">
        <v>0</v>
      </c>
      <c r="BQ54" s="35" t="b">
        <v>0</v>
      </c>
      <c r="BR54" s="35" t="b">
        <v>0</v>
      </c>
      <c r="BS54" s="35" t="b">
        <v>0</v>
      </c>
      <c r="BT54" s="35" t="b">
        <v>0</v>
      </c>
      <c r="BU54" s="35" t="b">
        <v>0</v>
      </c>
      <c r="BV54" s="35" t="b">
        <v>0</v>
      </c>
      <c r="BW54" s="35" t="b">
        <v>0</v>
      </c>
      <c r="BX54" s="35" t="b">
        <v>0</v>
      </c>
      <c r="BY54" s="35" t="b">
        <v>0</v>
      </c>
      <c r="BZ54" s="35" t="b">
        <v>0</v>
      </c>
      <c r="CA54" s="35" t="b">
        <v>1</v>
      </c>
      <c r="CB54" s="35" t="b">
        <v>0</v>
      </c>
      <c r="CC54" s="35" t="b">
        <v>0</v>
      </c>
      <c r="CD54" s="35" t="b">
        <v>0</v>
      </c>
    </row>
    <row r="55" spans="1:82" x14ac:dyDescent="0.3">
      <c r="A55" s="35" t="s">
        <v>141</v>
      </c>
      <c r="B55" s="35" t="s">
        <v>141</v>
      </c>
      <c r="C55" s="35">
        <f t="shared" si="1"/>
        <v>6</v>
      </c>
      <c r="D55" s="35" t="b">
        <v>0</v>
      </c>
      <c r="E55" s="35" t="b">
        <v>0</v>
      </c>
      <c r="F55" s="35" t="b">
        <v>0</v>
      </c>
      <c r="G55" s="35" t="b">
        <v>0</v>
      </c>
      <c r="H55" s="35" t="b">
        <v>0</v>
      </c>
      <c r="I55" s="35" t="b">
        <v>0</v>
      </c>
      <c r="J55" s="35" t="b">
        <v>0</v>
      </c>
      <c r="K55" s="35" t="b">
        <v>0</v>
      </c>
      <c r="L55" s="35" t="b">
        <v>0</v>
      </c>
      <c r="M55" s="35" t="b">
        <v>1</v>
      </c>
      <c r="N55" s="35" t="b">
        <v>0</v>
      </c>
      <c r="O55" s="35" t="b">
        <v>0</v>
      </c>
      <c r="P55" s="35" t="b">
        <v>0</v>
      </c>
      <c r="Q55" s="35" t="b">
        <v>0</v>
      </c>
      <c r="R55" s="35" t="b">
        <v>0</v>
      </c>
      <c r="S55" s="35" t="b">
        <v>0</v>
      </c>
      <c r="T55" s="35" t="b">
        <v>0</v>
      </c>
      <c r="U55" s="35" t="b">
        <v>1</v>
      </c>
      <c r="V55" s="35" t="b">
        <v>0</v>
      </c>
      <c r="W55" s="35" t="b">
        <v>0</v>
      </c>
      <c r="X55" s="35" t="b">
        <v>0</v>
      </c>
      <c r="Y55" s="35" t="b">
        <v>0</v>
      </c>
      <c r="Z55" s="35" t="b">
        <v>0</v>
      </c>
      <c r="AA55" s="35" t="b">
        <v>0</v>
      </c>
      <c r="AB55" s="35" t="b">
        <v>0</v>
      </c>
      <c r="AC55" s="35" t="b">
        <v>0</v>
      </c>
      <c r="AD55" s="35" t="b">
        <v>0</v>
      </c>
      <c r="AE55" s="35" t="b">
        <v>0</v>
      </c>
      <c r="AF55" s="35" t="b">
        <v>0</v>
      </c>
      <c r="AG55" s="35" t="b">
        <v>0</v>
      </c>
      <c r="AH55" s="35" t="b">
        <v>0</v>
      </c>
      <c r="AI55" s="35" t="b">
        <v>0</v>
      </c>
      <c r="AJ55" s="35" t="b">
        <v>1</v>
      </c>
      <c r="AK55" s="35" t="b">
        <v>0</v>
      </c>
      <c r="AL55" s="35" t="b">
        <v>0</v>
      </c>
      <c r="AM55" s="35" t="b">
        <v>0</v>
      </c>
      <c r="AN55" s="35" t="b">
        <v>0</v>
      </c>
      <c r="AO55" s="35" t="b">
        <v>0</v>
      </c>
      <c r="AP55" s="35" t="b">
        <v>0</v>
      </c>
      <c r="AQ55" s="35" t="b">
        <v>0</v>
      </c>
      <c r="AR55" s="35" t="b">
        <v>0</v>
      </c>
      <c r="AS55" s="35" t="b">
        <v>0</v>
      </c>
      <c r="AT55" s="35" t="b">
        <v>0</v>
      </c>
      <c r="AU55" s="35" t="b">
        <v>1</v>
      </c>
      <c r="AV55" s="35" t="b">
        <v>0</v>
      </c>
      <c r="AW55" s="35" t="b">
        <v>0</v>
      </c>
      <c r="AX55" s="35" t="b">
        <v>0</v>
      </c>
      <c r="AY55" s="35" t="b">
        <v>0</v>
      </c>
      <c r="AZ55" s="35" t="b">
        <v>0</v>
      </c>
      <c r="BA55" s="35" t="b">
        <v>1</v>
      </c>
      <c r="BB55" s="35" t="b">
        <v>0</v>
      </c>
      <c r="BC55" s="35"/>
      <c r="BD55" s="35" t="b">
        <v>0</v>
      </c>
      <c r="BE55" s="35" t="b">
        <v>0</v>
      </c>
      <c r="BF55" s="35" t="b">
        <v>0</v>
      </c>
      <c r="BG55" s="35" t="b">
        <v>0</v>
      </c>
      <c r="BH55" s="35" t="b">
        <v>0</v>
      </c>
      <c r="BI55" s="35" t="b">
        <v>0</v>
      </c>
      <c r="BJ55" s="35" t="b">
        <v>0</v>
      </c>
      <c r="BK55" s="35" t="b">
        <v>0</v>
      </c>
      <c r="BL55" s="35" t="b">
        <v>0</v>
      </c>
      <c r="BM55" s="35" t="b">
        <v>0</v>
      </c>
      <c r="BN55" s="35" t="b">
        <v>0</v>
      </c>
      <c r="BO55" s="35" t="b">
        <v>0</v>
      </c>
      <c r="BP55" s="35" t="b">
        <v>0</v>
      </c>
      <c r="BQ55" s="35" t="b">
        <v>0</v>
      </c>
      <c r="BR55" s="35" t="b">
        <v>0</v>
      </c>
      <c r="BS55" s="35" t="b">
        <v>0</v>
      </c>
      <c r="BT55" s="35" t="b">
        <v>0</v>
      </c>
      <c r="BU55" s="35" t="b">
        <v>0</v>
      </c>
      <c r="BV55" s="35" t="b">
        <v>0</v>
      </c>
      <c r="BW55" s="35" t="b">
        <v>0</v>
      </c>
      <c r="BX55" s="35" t="b">
        <v>0</v>
      </c>
      <c r="BY55" s="35" t="b">
        <v>1</v>
      </c>
      <c r="BZ55" s="35" t="b">
        <v>0</v>
      </c>
      <c r="CA55" s="35" t="b">
        <v>0</v>
      </c>
      <c r="CB55" s="35" t="b">
        <v>1</v>
      </c>
      <c r="CC55" s="35" t="b">
        <v>0</v>
      </c>
      <c r="CD55" s="35" t="b">
        <v>0</v>
      </c>
    </row>
    <row r="56" spans="1:82" x14ac:dyDescent="0.3">
      <c r="A56" s="35" t="s">
        <v>158</v>
      </c>
      <c r="B56" s="35" t="s">
        <v>158</v>
      </c>
      <c r="C56" s="35">
        <f t="shared" si="1"/>
        <v>1</v>
      </c>
      <c r="D56" s="35" t="b">
        <v>0</v>
      </c>
      <c r="E56" s="35" t="b">
        <v>0</v>
      </c>
      <c r="F56" s="35" t="b">
        <v>0</v>
      </c>
      <c r="G56" s="35" t="b">
        <v>0</v>
      </c>
      <c r="H56" s="35" t="b">
        <v>0</v>
      </c>
      <c r="I56" s="35" t="b">
        <v>0</v>
      </c>
      <c r="J56" s="35" t="b">
        <v>0</v>
      </c>
      <c r="K56" s="35" t="b">
        <v>0</v>
      </c>
      <c r="L56" s="35" t="b">
        <v>0</v>
      </c>
      <c r="M56" s="35" t="b">
        <v>0</v>
      </c>
      <c r="N56" s="35" t="b">
        <v>0</v>
      </c>
      <c r="O56" s="35" t="b">
        <v>0</v>
      </c>
      <c r="P56" s="35" t="b">
        <v>0</v>
      </c>
      <c r="Q56" s="35" t="b">
        <v>1</v>
      </c>
      <c r="R56" s="35" t="b">
        <v>0</v>
      </c>
      <c r="S56" s="35" t="b">
        <v>0</v>
      </c>
      <c r="T56" s="35" t="b">
        <v>0</v>
      </c>
      <c r="U56" s="35" t="b">
        <v>0</v>
      </c>
      <c r="V56" s="35" t="b">
        <v>0</v>
      </c>
      <c r="W56" s="35" t="b">
        <v>1</v>
      </c>
      <c r="X56" s="35" t="b">
        <v>0</v>
      </c>
      <c r="Y56" s="35" t="b">
        <v>0</v>
      </c>
      <c r="Z56" s="35" t="b">
        <v>0</v>
      </c>
      <c r="AA56" s="35" t="b">
        <v>0</v>
      </c>
      <c r="AB56" s="35" t="b">
        <v>0</v>
      </c>
      <c r="AC56" s="35" t="b">
        <v>0</v>
      </c>
      <c r="AD56" s="35" t="b">
        <v>0</v>
      </c>
      <c r="AE56" s="35" t="b">
        <v>0</v>
      </c>
      <c r="AF56" s="35" t="b">
        <v>0</v>
      </c>
      <c r="AG56" s="35" t="b">
        <v>0</v>
      </c>
      <c r="AH56" s="35" t="b">
        <v>0</v>
      </c>
      <c r="AI56" s="35" t="b">
        <v>0</v>
      </c>
      <c r="AJ56" s="35" t="b">
        <v>0</v>
      </c>
      <c r="AK56" s="35" t="b">
        <v>0</v>
      </c>
      <c r="AL56" s="35" t="b">
        <v>0</v>
      </c>
      <c r="AM56" s="35" t="b">
        <v>0</v>
      </c>
      <c r="AN56" s="35" t="b">
        <v>0</v>
      </c>
      <c r="AO56" s="35" t="b">
        <v>0</v>
      </c>
      <c r="AP56" s="35" t="b">
        <v>0</v>
      </c>
      <c r="AQ56" s="35" t="b">
        <v>0</v>
      </c>
      <c r="AR56" s="35" t="b">
        <v>0</v>
      </c>
      <c r="AS56" s="35" t="b">
        <v>0</v>
      </c>
      <c r="AT56" s="35" t="b">
        <v>0</v>
      </c>
      <c r="AU56" s="35" t="b">
        <v>0</v>
      </c>
      <c r="AV56" s="35" t="b">
        <v>0</v>
      </c>
      <c r="AW56" s="35" t="b">
        <v>0</v>
      </c>
      <c r="AX56" s="35" t="b">
        <v>0</v>
      </c>
      <c r="AY56" s="35" t="b">
        <v>0</v>
      </c>
      <c r="AZ56" s="35" t="b">
        <v>0</v>
      </c>
      <c r="BA56" s="35" t="b">
        <v>0</v>
      </c>
      <c r="BB56" s="35" t="b">
        <v>0</v>
      </c>
      <c r="BC56" s="35" t="b">
        <v>0</v>
      </c>
      <c r="BD56" s="35"/>
      <c r="BE56" s="35" t="b">
        <v>0</v>
      </c>
      <c r="BF56" s="35" t="b">
        <v>0</v>
      </c>
      <c r="BG56" s="35" t="b">
        <v>0</v>
      </c>
      <c r="BH56" s="35" t="b">
        <v>0</v>
      </c>
      <c r="BI56" s="35" t="b">
        <v>0</v>
      </c>
      <c r="BJ56" s="35" t="b">
        <v>0</v>
      </c>
      <c r="BK56" s="35" t="b">
        <v>0</v>
      </c>
      <c r="BL56" s="35" t="b">
        <v>0</v>
      </c>
      <c r="BM56" s="35" t="b">
        <v>0</v>
      </c>
      <c r="BN56" s="35" t="b">
        <v>0</v>
      </c>
      <c r="BO56" s="35" t="b">
        <v>0</v>
      </c>
      <c r="BP56" s="35" t="b">
        <v>0</v>
      </c>
      <c r="BQ56" s="35" t="b">
        <v>0</v>
      </c>
      <c r="BR56" s="35" t="b">
        <v>0</v>
      </c>
      <c r="BS56" s="35" t="b">
        <v>0</v>
      </c>
      <c r="BT56" s="35" t="b">
        <v>0</v>
      </c>
      <c r="BU56" s="35" t="b">
        <v>0</v>
      </c>
      <c r="BV56" s="35" t="b">
        <v>0</v>
      </c>
      <c r="BW56" s="35" t="b">
        <v>0</v>
      </c>
      <c r="BX56" s="35" t="b">
        <v>0</v>
      </c>
      <c r="BY56" s="35" t="b">
        <v>0</v>
      </c>
      <c r="BZ56" s="35" t="b">
        <v>0</v>
      </c>
      <c r="CA56" s="35" t="b">
        <v>0</v>
      </c>
      <c r="CB56" s="35" t="b">
        <v>0</v>
      </c>
      <c r="CC56" s="35" t="b">
        <v>0</v>
      </c>
      <c r="CD56" s="35" t="b">
        <v>0</v>
      </c>
    </row>
    <row r="57" spans="1:82" x14ac:dyDescent="0.3">
      <c r="A57" s="35" t="s">
        <v>142</v>
      </c>
      <c r="B57" s="35" t="s">
        <v>142</v>
      </c>
      <c r="C57" s="35">
        <f t="shared" si="1"/>
        <v>5</v>
      </c>
      <c r="D57" s="35" t="b">
        <v>0</v>
      </c>
      <c r="E57" s="35" t="b">
        <v>0</v>
      </c>
      <c r="F57" s="35" t="b">
        <v>0</v>
      </c>
      <c r="G57" s="35" t="b">
        <v>0</v>
      </c>
      <c r="H57" s="35" t="b">
        <v>0</v>
      </c>
      <c r="I57" s="35" t="b">
        <v>0</v>
      </c>
      <c r="J57" s="35" t="b">
        <v>0</v>
      </c>
      <c r="K57" s="35" t="b">
        <v>0</v>
      </c>
      <c r="L57" s="35" t="b">
        <v>0</v>
      </c>
      <c r="M57" s="35" t="b">
        <v>0</v>
      </c>
      <c r="N57" s="35" t="b">
        <v>0</v>
      </c>
      <c r="O57" s="35" t="b">
        <v>0</v>
      </c>
      <c r="P57" s="35" t="b">
        <v>0</v>
      </c>
      <c r="Q57" s="35" t="b">
        <v>0</v>
      </c>
      <c r="R57" s="35" t="b">
        <v>1</v>
      </c>
      <c r="S57" s="35" t="b">
        <v>0</v>
      </c>
      <c r="T57" s="35" t="b">
        <v>0</v>
      </c>
      <c r="U57" s="35" t="b">
        <v>0</v>
      </c>
      <c r="V57" s="35" t="b">
        <v>0</v>
      </c>
      <c r="W57" s="35" t="b">
        <v>0</v>
      </c>
      <c r="X57" s="35" t="b">
        <v>0</v>
      </c>
      <c r="Y57" s="35" t="b">
        <v>0</v>
      </c>
      <c r="Z57" s="35" t="b">
        <v>0</v>
      </c>
      <c r="AA57" s="35" t="b">
        <v>0</v>
      </c>
      <c r="AB57" s="35" t="b">
        <v>1</v>
      </c>
      <c r="AC57" s="35" t="b">
        <v>0</v>
      </c>
      <c r="AD57" s="35" t="b">
        <v>0</v>
      </c>
      <c r="AE57" s="35" t="b">
        <v>0</v>
      </c>
      <c r="AF57" s="35" t="b">
        <v>1</v>
      </c>
      <c r="AG57" s="35" t="b">
        <v>0</v>
      </c>
      <c r="AH57" s="35" t="b">
        <v>0</v>
      </c>
      <c r="AI57" s="35" t="b">
        <v>0</v>
      </c>
      <c r="AJ57" s="35" t="b">
        <v>0</v>
      </c>
      <c r="AK57" s="35" t="b">
        <v>0</v>
      </c>
      <c r="AL57" s="35" t="b">
        <v>0</v>
      </c>
      <c r="AM57" s="35" t="b">
        <v>0</v>
      </c>
      <c r="AN57" s="35" t="b">
        <v>0</v>
      </c>
      <c r="AO57" s="35" t="b">
        <v>1</v>
      </c>
      <c r="AP57" s="35" t="b">
        <v>1</v>
      </c>
      <c r="AQ57" s="35" t="b">
        <v>0</v>
      </c>
      <c r="AR57" s="35" t="b">
        <v>0</v>
      </c>
      <c r="AS57" s="35" t="b">
        <v>0</v>
      </c>
      <c r="AT57" s="35" t="b">
        <v>0</v>
      </c>
      <c r="AU57" s="35" t="b">
        <v>0</v>
      </c>
      <c r="AV57" s="35" t="b">
        <v>0</v>
      </c>
      <c r="AW57" s="35" t="b">
        <v>0</v>
      </c>
      <c r="AX57" s="35" t="b">
        <v>1</v>
      </c>
      <c r="AY57" s="35" t="b">
        <v>0</v>
      </c>
      <c r="AZ57" s="35" t="b">
        <v>0</v>
      </c>
      <c r="BA57" s="35" t="b">
        <v>0</v>
      </c>
      <c r="BB57" s="35" t="b">
        <v>0</v>
      </c>
      <c r="BC57" s="35" t="b">
        <v>0</v>
      </c>
      <c r="BD57" s="35" t="b">
        <v>0</v>
      </c>
      <c r="BE57" s="35"/>
      <c r="BF57" s="35" t="b">
        <v>0</v>
      </c>
      <c r="BG57" s="35" t="b">
        <v>0</v>
      </c>
      <c r="BH57" s="35" t="b">
        <v>0</v>
      </c>
      <c r="BI57" s="35" t="b">
        <v>0</v>
      </c>
      <c r="BJ57" s="35" t="b">
        <v>0</v>
      </c>
      <c r="BK57" s="35" t="b">
        <v>0</v>
      </c>
      <c r="BL57" s="35" t="b">
        <v>0</v>
      </c>
      <c r="BM57" s="35" t="b">
        <v>0</v>
      </c>
      <c r="BN57" s="35" t="b">
        <v>0</v>
      </c>
      <c r="BO57" s="35" t="b">
        <v>0</v>
      </c>
      <c r="BP57" s="35" t="b">
        <v>0</v>
      </c>
      <c r="BQ57" s="35" t="b">
        <v>0</v>
      </c>
      <c r="BR57" s="35" t="b">
        <v>0</v>
      </c>
      <c r="BS57" s="35" t="b">
        <v>0</v>
      </c>
      <c r="BT57" s="35" t="b">
        <v>0</v>
      </c>
      <c r="BU57" s="35" t="b">
        <v>0</v>
      </c>
      <c r="BV57" s="35" t="b">
        <v>0</v>
      </c>
      <c r="BW57" s="35" t="b">
        <v>0</v>
      </c>
      <c r="BX57" s="35" t="b">
        <v>0</v>
      </c>
      <c r="BY57" s="35" t="b">
        <v>0</v>
      </c>
      <c r="BZ57" s="35" t="b">
        <v>0</v>
      </c>
      <c r="CA57" s="35" t="b">
        <v>0</v>
      </c>
      <c r="CB57" s="35" t="b">
        <v>0</v>
      </c>
      <c r="CC57" s="35" t="b">
        <v>0</v>
      </c>
      <c r="CD57" s="35" t="b">
        <v>0</v>
      </c>
    </row>
    <row r="58" spans="1:82" x14ac:dyDescent="0.3">
      <c r="A58" s="35" t="s">
        <v>180</v>
      </c>
      <c r="B58" s="35" t="s">
        <v>180</v>
      </c>
      <c r="C58" s="35">
        <f t="shared" si="1"/>
        <v>4</v>
      </c>
      <c r="D58" s="35" t="b">
        <v>0</v>
      </c>
      <c r="E58" s="35" t="b">
        <v>1</v>
      </c>
      <c r="F58" s="35" t="b">
        <v>0</v>
      </c>
      <c r="G58" s="35" t="b">
        <v>0</v>
      </c>
      <c r="H58" s="35" t="b">
        <v>0</v>
      </c>
      <c r="I58" s="35" t="b">
        <v>0</v>
      </c>
      <c r="J58" s="35" t="b">
        <v>0</v>
      </c>
      <c r="K58" s="35" t="b">
        <v>0</v>
      </c>
      <c r="L58" s="35" t="b">
        <v>0</v>
      </c>
      <c r="M58" s="35" t="b">
        <v>0</v>
      </c>
      <c r="N58" s="35" t="b">
        <v>0</v>
      </c>
      <c r="O58" s="35" t="b">
        <v>0</v>
      </c>
      <c r="P58" s="35" t="b">
        <v>0</v>
      </c>
      <c r="Q58" s="35" t="b">
        <v>0</v>
      </c>
      <c r="R58" s="35" t="b">
        <v>0</v>
      </c>
      <c r="S58" s="35" t="b">
        <v>0</v>
      </c>
      <c r="T58" s="35" t="b">
        <v>1</v>
      </c>
      <c r="U58" s="35" t="b">
        <v>0</v>
      </c>
      <c r="V58" s="35" t="b">
        <v>0</v>
      </c>
      <c r="W58" s="35" t="b">
        <v>0</v>
      </c>
      <c r="X58" s="35" t="b">
        <v>0</v>
      </c>
      <c r="Y58" s="35" t="b">
        <v>0</v>
      </c>
      <c r="Z58" s="35" t="b">
        <v>1</v>
      </c>
      <c r="AA58" s="35" t="b">
        <v>0</v>
      </c>
      <c r="AB58" s="35" t="b">
        <v>0</v>
      </c>
      <c r="AC58" s="35" t="b">
        <v>0</v>
      </c>
      <c r="AD58" s="35" t="b">
        <v>0</v>
      </c>
      <c r="AE58" s="35" t="b">
        <v>0</v>
      </c>
      <c r="AF58" s="35" t="b">
        <v>0</v>
      </c>
      <c r="AG58" s="35" t="b">
        <v>0</v>
      </c>
      <c r="AH58" s="35" t="b">
        <v>0</v>
      </c>
      <c r="AI58" s="35" t="b">
        <v>0</v>
      </c>
      <c r="AJ58" s="35" t="b">
        <v>0</v>
      </c>
      <c r="AK58" s="35" t="b">
        <v>0</v>
      </c>
      <c r="AL58" s="35" t="b">
        <v>0</v>
      </c>
      <c r="AM58" s="35" t="b">
        <v>0</v>
      </c>
      <c r="AN58" s="35" t="b">
        <v>0</v>
      </c>
      <c r="AO58" s="35" t="b">
        <v>0</v>
      </c>
      <c r="AP58" s="35" t="b">
        <v>0</v>
      </c>
      <c r="AQ58" s="35" t="b">
        <v>0</v>
      </c>
      <c r="AR58" s="35" t="b">
        <v>0</v>
      </c>
      <c r="AS58" s="35" t="b">
        <v>0</v>
      </c>
      <c r="AT58" s="35" t="b">
        <v>0</v>
      </c>
      <c r="AU58" s="35" t="b">
        <v>0</v>
      </c>
      <c r="AV58" s="35" t="b">
        <v>0</v>
      </c>
      <c r="AW58" s="35" t="b">
        <v>0</v>
      </c>
      <c r="AX58" s="35" t="b">
        <v>0</v>
      </c>
      <c r="AY58" s="35" t="b">
        <v>0</v>
      </c>
      <c r="AZ58" s="35" t="b">
        <v>0</v>
      </c>
      <c r="BA58" s="35" t="b">
        <v>0</v>
      </c>
      <c r="BB58" s="35" t="b">
        <v>0</v>
      </c>
      <c r="BC58" s="35" t="b">
        <v>0</v>
      </c>
      <c r="BD58" s="35" t="b">
        <v>0</v>
      </c>
      <c r="BE58" s="35" t="b">
        <v>0</v>
      </c>
      <c r="BF58" s="35"/>
      <c r="BG58" s="35" t="b">
        <v>0</v>
      </c>
      <c r="BH58" s="35" t="b">
        <v>0</v>
      </c>
      <c r="BI58" s="35" t="b">
        <v>0</v>
      </c>
      <c r="BJ58" s="35" t="b">
        <v>0</v>
      </c>
      <c r="BK58" s="35" t="b">
        <v>0</v>
      </c>
      <c r="BL58" s="35" t="b">
        <v>0</v>
      </c>
      <c r="BM58" s="35" t="b">
        <v>0</v>
      </c>
      <c r="BN58" s="35" t="b">
        <v>1</v>
      </c>
      <c r="BO58" s="35" t="b">
        <v>0</v>
      </c>
      <c r="BP58" s="35" t="b">
        <v>0</v>
      </c>
      <c r="BQ58" s="35" t="b">
        <v>0</v>
      </c>
      <c r="BR58" s="35" t="b">
        <v>0</v>
      </c>
      <c r="BS58" s="35" t="b">
        <v>0</v>
      </c>
      <c r="BT58" s="35" t="b">
        <v>0</v>
      </c>
      <c r="BU58" s="35" t="b">
        <v>1</v>
      </c>
      <c r="BV58" s="35" t="b">
        <v>0</v>
      </c>
      <c r="BW58" s="35" t="b">
        <v>0</v>
      </c>
      <c r="BX58" s="35" t="b">
        <v>0</v>
      </c>
      <c r="BY58" s="35" t="b">
        <v>0</v>
      </c>
      <c r="BZ58" s="35" t="b">
        <v>0</v>
      </c>
      <c r="CA58" s="35" t="b">
        <v>0</v>
      </c>
      <c r="CB58" s="35" t="b">
        <v>0</v>
      </c>
      <c r="CC58" s="35" t="b">
        <v>0</v>
      </c>
      <c r="CD58" s="35" t="b">
        <v>0</v>
      </c>
    </row>
    <row r="59" spans="1:82" x14ac:dyDescent="0.3">
      <c r="A59" s="35" t="s">
        <v>123</v>
      </c>
      <c r="B59" s="35" t="s">
        <v>123</v>
      </c>
      <c r="C59" s="35">
        <f t="shared" si="1"/>
        <v>5</v>
      </c>
      <c r="D59" s="35" t="b">
        <v>0</v>
      </c>
      <c r="E59" s="35" t="b">
        <v>0</v>
      </c>
      <c r="F59" s="35" t="b">
        <v>0</v>
      </c>
      <c r="G59" s="35" t="b">
        <v>0</v>
      </c>
      <c r="H59" s="35" t="b">
        <v>0</v>
      </c>
      <c r="I59" s="35" t="b">
        <v>0</v>
      </c>
      <c r="J59" s="35" t="b">
        <v>0</v>
      </c>
      <c r="K59" s="35" t="b">
        <v>0</v>
      </c>
      <c r="L59" s="35" t="b">
        <v>0</v>
      </c>
      <c r="M59" s="35" t="b">
        <v>0</v>
      </c>
      <c r="N59" s="35" t="b">
        <v>0</v>
      </c>
      <c r="O59" s="35" t="b">
        <v>0</v>
      </c>
      <c r="P59" s="35" t="b">
        <v>0</v>
      </c>
      <c r="Q59" s="35" t="b">
        <v>0</v>
      </c>
      <c r="R59" s="35" t="b">
        <v>0</v>
      </c>
      <c r="S59" s="35" t="b">
        <v>0</v>
      </c>
      <c r="T59" s="35" t="b">
        <v>0</v>
      </c>
      <c r="U59" s="35" t="b">
        <v>0</v>
      </c>
      <c r="V59" s="35" t="b">
        <v>0</v>
      </c>
      <c r="W59" s="35" t="b">
        <v>0</v>
      </c>
      <c r="X59" s="35" t="b">
        <v>0</v>
      </c>
      <c r="Y59" s="35" t="b">
        <v>0</v>
      </c>
      <c r="Z59" s="35" t="b">
        <v>0</v>
      </c>
      <c r="AA59" s="35" t="b">
        <v>0</v>
      </c>
      <c r="AB59" s="35" t="b">
        <v>0</v>
      </c>
      <c r="AC59" s="35" t="b">
        <v>0</v>
      </c>
      <c r="AD59" s="35" t="b">
        <v>0</v>
      </c>
      <c r="AE59" s="35" t="b">
        <v>0</v>
      </c>
      <c r="AF59" s="35" t="b">
        <v>0</v>
      </c>
      <c r="AG59" s="35" t="b">
        <v>0</v>
      </c>
      <c r="AH59" s="35" t="b">
        <v>0</v>
      </c>
      <c r="AI59" s="35" t="b">
        <v>0</v>
      </c>
      <c r="AJ59" s="35" t="b">
        <v>0</v>
      </c>
      <c r="AK59" s="35" t="b">
        <v>0</v>
      </c>
      <c r="AL59" s="35" t="b">
        <v>0</v>
      </c>
      <c r="AM59" s="35" t="b">
        <v>0</v>
      </c>
      <c r="AN59" s="35" t="b">
        <v>0</v>
      </c>
      <c r="AO59" s="35" t="b">
        <v>0</v>
      </c>
      <c r="AP59" s="35" t="b">
        <v>0</v>
      </c>
      <c r="AQ59" s="35" t="b">
        <v>0</v>
      </c>
      <c r="AR59" s="35" t="b">
        <v>1</v>
      </c>
      <c r="AS59" s="35" t="b">
        <v>0</v>
      </c>
      <c r="AT59" s="35" t="b">
        <v>0</v>
      </c>
      <c r="AU59" s="35" t="b">
        <v>0</v>
      </c>
      <c r="AV59" s="35" t="b">
        <v>0</v>
      </c>
      <c r="AW59" s="35" t="b">
        <v>0</v>
      </c>
      <c r="AX59" s="35" t="b">
        <v>1</v>
      </c>
      <c r="AY59" s="35" t="b">
        <v>0</v>
      </c>
      <c r="AZ59" s="35" t="b">
        <v>0</v>
      </c>
      <c r="BA59" s="35" t="b">
        <v>0</v>
      </c>
      <c r="BB59" s="35" t="b">
        <v>0</v>
      </c>
      <c r="BC59" s="35" t="b">
        <v>0</v>
      </c>
      <c r="BD59" s="35" t="b">
        <v>0</v>
      </c>
      <c r="BE59" s="35" t="b">
        <v>0</v>
      </c>
      <c r="BF59" s="35" t="b">
        <v>0</v>
      </c>
      <c r="BG59" s="35"/>
      <c r="BH59" s="35" t="b">
        <v>1</v>
      </c>
      <c r="BI59" s="35" t="b">
        <v>0</v>
      </c>
      <c r="BJ59" s="35" t="b">
        <v>0</v>
      </c>
      <c r="BK59" s="35" t="b">
        <v>0</v>
      </c>
      <c r="BL59" s="35" t="b">
        <v>0</v>
      </c>
      <c r="BM59" s="35" t="b">
        <v>0</v>
      </c>
      <c r="BN59" s="35" t="b">
        <v>0</v>
      </c>
      <c r="BO59" s="35" t="b">
        <v>0</v>
      </c>
      <c r="BP59" s="35" t="b">
        <v>1</v>
      </c>
      <c r="BQ59" s="35" t="b">
        <v>0</v>
      </c>
      <c r="BR59" s="35" t="b">
        <v>0</v>
      </c>
      <c r="BS59" s="35" t="b">
        <v>0</v>
      </c>
      <c r="BT59" s="35" t="b">
        <v>0</v>
      </c>
      <c r="BU59" s="35" t="b">
        <v>0</v>
      </c>
      <c r="BV59" s="35" t="b">
        <v>0</v>
      </c>
      <c r="BW59" s="35" t="b">
        <v>0</v>
      </c>
      <c r="BX59" s="35" t="b">
        <v>0</v>
      </c>
      <c r="BY59" s="35" t="b">
        <v>1</v>
      </c>
      <c r="BZ59" s="35" t="b">
        <v>0</v>
      </c>
      <c r="CA59" s="35" t="b">
        <v>0</v>
      </c>
      <c r="CB59" s="35" t="b">
        <v>0</v>
      </c>
      <c r="CC59" s="35" t="b">
        <v>1</v>
      </c>
      <c r="CD59" s="35" t="b">
        <v>0</v>
      </c>
    </row>
    <row r="60" spans="1:82" x14ac:dyDescent="0.3">
      <c r="A60" s="35" t="s">
        <v>143</v>
      </c>
      <c r="B60" s="35" t="s">
        <v>143</v>
      </c>
      <c r="C60" s="35">
        <f t="shared" si="1"/>
        <v>4</v>
      </c>
      <c r="D60" s="35" t="b">
        <v>0</v>
      </c>
      <c r="E60" s="35" t="b">
        <v>0</v>
      </c>
      <c r="F60" s="35" t="b">
        <v>0</v>
      </c>
      <c r="G60" s="35" t="b">
        <v>1</v>
      </c>
      <c r="H60" s="35" t="b">
        <v>0</v>
      </c>
      <c r="I60" s="35" t="b">
        <v>0</v>
      </c>
      <c r="J60" s="35" t="b">
        <v>0</v>
      </c>
      <c r="K60" s="35" t="b">
        <v>0</v>
      </c>
      <c r="L60" s="35" t="b">
        <v>0</v>
      </c>
      <c r="M60" s="35" t="b">
        <v>0</v>
      </c>
      <c r="N60" s="35" t="b">
        <v>0</v>
      </c>
      <c r="O60" s="35" t="b">
        <v>0</v>
      </c>
      <c r="P60" s="35" t="b">
        <v>0</v>
      </c>
      <c r="Q60" s="35" t="b">
        <v>0</v>
      </c>
      <c r="R60" s="35" t="b">
        <v>0</v>
      </c>
      <c r="S60" s="35" t="b">
        <v>0</v>
      </c>
      <c r="T60" s="35" t="b">
        <v>0</v>
      </c>
      <c r="U60" s="35" t="b">
        <v>0</v>
      </c>
      <c r="V60" s="35" t="b">
        <v>0</v>
      </c>
      <c r="W60" s="35" t="b">
        <v>0</v>
      </c>
      <c r="X60" s="35" t="b">
        <v>0</v>
      </c>
      <c r="Y60" s="35" t="b">
        <v>0</v>
      </c>
      <c r="Z60" s="35" t="b">
        <v>0</v>
      </c>
      <c r="AA60" s="35" t="b">
        <v>0</v>
      </c>
      <c r="AB60" s="35" t="b">
        <v>0</v>
      </c>
      <c r="AC60" s="35" t="b">
        <v>0</v>
      </c>
      <c r="AD60" s="35" t="b">
        <v>0</v>
      </c>
      <c r="AE60" s="35" t="b">
        <v>0</v>
      </c>
      <c r="AF60" s="35" t="b">
        <v>0</v>
      </c>
      <c r="AG60" s="35" t="b">
        <v>0</v>
      </c>
      <c r="AH60" s="35" t="b">
        <v>0</v>
      </c>
      <c r="AI60" s="35" t="b">
        <v>0</v>
      </c>
      <c r="AJ60" s="35" t="b">
        <v>0</v>
      </c>
      <c r="AK60" s="35" t="b">
        <v>0</v>
      </c>
      <c r="AL60" s="35" t="b">
        <v>0</v>
      </c>
      <c r="AM60" s="35" t="b">
        <v>0</v>
      </c>
      <c r="AN60" s="35" t="b">
        <v>0</v>
      </c>
      <c r="AO60" s="35" t="b">
        <v>0</v>
      </c>
      <c r="AP60" s="35" t="b">
        <v>0</v>
      </c>
      <c r="AQ60" s="35" t="b">
        <v>1</v>
      </c>
      <c r="AR60" s="35" t="b">
        <v>0</v>
      </c>
      <c r="AS60" s="35" t="b">
        <v>0</v>
      </c>
      <c r="AT60" s="35" t="b">
        <v>0</v>
      </c>
      <c r="AU60" s="35" t="b">
        <v>0</v>
      </c>
      <c r="AV60" s="35" t="b">
        <v>0</v>
      </c>
      <c r="AW60" s="35" t="b">
        <v>0</v>
      </c>
      <c r="AX60" s="35" t="b">
        <v>0</v>
      </c>
      <c r="AY60" s="35" t="b">
        <v>0</v>
      </c>
      <c r="AZ60" s="35" t="b">
        <v>0</v>
      </c>
      <c r="BA60" s="35" t="b">
        <v>0</v>
      </c>
      <c r="BB60" s="35" t="b">
        <v>0</v>
      </c>
      <c r="BC60" s="35" t="b">
        <v>0</v>
      </c>
      <c r="BD60" s="35" t="b">
        <v>0</v>
      </c>
      <c r="BE60" s="35" t="b">
        <v>0</v>
      </c>
      <c r="BF60" s="35" t="b">
        <v>0</v>
      </c>
      <c r="BG60" s="35" t="b">
        <v>1</v>
      </c>
      <c r="BH60" s="35"/>
      <c r="BI60" s="35" t="b">
        <v>0</v>
      </c>
      <c r="BJ60" s="35" t="b">
        <v>0</v>
      </c>
      <c r="BK60" s="35" t="b">
        <v>0</v>
      </c>
      <c r="BL60" s="35" t="b">
        <v>0</v>
      </c>
      <c r="BM60" s="35" t="b">
        <v>0</v>
      </c>
      <c r="BN60" s="35" t="b">
        <v>0</v>
      </c>
      <c r="BO60" s="35" t="b">
        <v>0</v>
      </c>
      <c r="BP60" s="35" t="b">
        <v>0</v>
      </c>
      <c r="BQ60" s="35" t="b">
        <v>0</v>
      </c>
      <c r="BR60" s="35" t="b">
        <v>0</v>
      </c>
      <c r="BS60" s="35" t="b">
        <v>0</v>
      </c>
      <c r="BT60" s="35" t="b">
        <v>0</v>
      </c>
      <c r="BU60" s="35" t="b">
        <v>0</v>
      </c>
      <c r="BV60" s="35" t="b">
        <v>0</v>
      </c>
      <c r="BW60" s="35" t="b">
        <v>0</v>
      </c>
      <c r="BX60" s="35" t="b">
        <v>0</v>
      </c>
      <c r="BY60" s="35" t="b">
        <v>1</v>
      </c>
      <c r="BZ60" s="35" t="b">
        <v>0</v>
      </c>
      <c r="CA60" s="35" t="b">
        <v>0</v>
      </c>
      <c r="CB60" s="35" t="b">
        <v>0</v>
      </c>
      <c r="CC60" s="35" t="b">
        <v>1</v>
      </c>
      <c r="CD60" s="35" t="b">
        <v>0</v>
      </c>
    </row>
    <row r="61" spans="1:82" x14ac:dyDescent="0.3">
      <c r="A61" s="35" t="s">
        <v>181</v>
      </c>
      <c r="B61" s="35" t="s">
        <v>181</v>
      </c>
      <c r="C61" s="35">
        <f t="shared" si="1"/>
        <v>7</v>
      </c>
      <c r="D61" s="35" t="b">
        <v>0</v>
      </c>
      <c r="E61" s="35" t="b">
        <v>1</v>
      </c>
      <c r="F61" s="35" t="b">
        <v>0</v>
      </c>
      <c r="G61" s="35" t="b">
        <v>0</v>
      </c>
      <c r="H61" s="35" t="b">
        <v>0</v>
      </c>
      <c r="I61" s="35" t="b">
        <v>0</v>
      </c>
      <c r="J61" s="35" t="b">
        <v>0</v>
      </c>
      <c r="K61" s="35" t="b">
        <v>0</v>
      </c>
      <c r="L61" s="35" t="b">
        <v>0</v>
      </c>
      <c r="M61" s="35" t="b">
        <v>0</v>
      </c>
      <c r="N61" s="35" t="b">
        <v>1</v>
      </c>
      <c r="O61" s="35" t="b">
        <v>0</v>
      </c>
      <c r="P61" s="35" t="b">
        <v>0</v>
      </c>
      <c r="Q61" s="35" t="b">
        <v>0</v>
      </c>
      <c r="R61" s="35" t="b">
        <v>1</v>
      </c>
      <c r="S61" s="35" t="b">
        <v>0</v>
      </c>
      <c r="T61" s="35" t="b">
        <v>0</v>
      </c>
      <c r="U61" s="35" t="b">
        <v>0</v>
      </c>
      <c r="V61" s="35" t="b">
        <v>0</v>
      </c>
      <c r="W61" s="35" t="b">
        <v>0</v>
      </c>
      <c r="X61" s="35" t="b">
        <v>0</v>
      </c>
      <c r="Y61" s="35" t="b">
        <v>0</v>
      </c>
      <c r="Z61" s="35" t="b">
        <v>0</v>
      </c>
      <c r="AA61" s="35" t="b">
        <v>0</v>
      </c>
      <c r="AB61" s="35" t="b">
        <v>0</v>
      </c>
      <c r="AC61" s="35" t="b">
        <v>0</v>
      </c>
      <c r="AD61" s="35" t="b">
        <v>0</v>
      </c>
      <c r="AE61" s="35" t="b">
        <v>0</v>
      </c>
      <c r="AF61" s="35" t="b">
        <v>0</v>
      </c>
      <c r="AG61" s="35" t="b">
        <v>0</v>
      </c>
      <c r="AH61" s="35" t="b">
        <v>0</v>
      </c>
      <c r="AI61" s="35" t="b">
        <v>1</v>
      </c>
      <c r="AJ61" s="35" t="b">
        <v>0</v>
      </c>
      <c r="AK61" s="35" t="b">
        <v>0</v>
      </c>
      <c r="AL61" s="35" t="b">
        <v>0</v>
      </c>
      <c r="AM61" s="35" t="b">
        <v>0</v>
      </c>
      <c r="AN61" s="35" t="b">
        <v>0</v>
      </c>
      <c r="AO61" s="35" t="b">
        <v>1</v>
      </c>
      <c r="AP61" s="35" t="b">
        <v>0</v>
      </c>
      <c r="AQ61" s="35" t="b">
        <v>0</v>
      </c>
      <c r="AR61" s="35" t="b">
        <v>0</v>
      </c>
      <c r="AS61" s="35" t="b">
        <v>0</v>
      </c>
      <c r="AT61" s="35" t="b">
        <v>0</v>
      </c>
      <c r="AU61" s="35" t="b">
        <v>0</v>
      </c>
      <c r="AV61" s="35" t="b">
        <v>0</v>
      </c>
      <c r="AW61" s="35" t="b">
        <v>0</v>
      </c>
      <c r="AX61" s="35" t="b">
        <v>0</v>
      </c>
      <c r="AY61" s="35" t="b">
        <v>0</v>
      </c>
      <c r="AZ61" s="35" t="b">
        <v>0</v>
      </c>
      <c r="BA61" s="35" t="b">
        <v>0</v>
      </c>
      <c r="BB61" s="35" t="b">
        <v>0</v>
      </c>
      <c r="BC61" s="35" t="b">
        <v>0</v>
      </c>
      <c r="BD61" s="35" t="b">
        <v>0</v>
      </c>
      <c r="BE61" s="35" t="b">
        <v>0</v>
      </c>
      <c r="BF61" s="35" t="b">
        <v>0</v>
      </c>
      <c r="BG61" s="35" t="b">
        <v>0</v>
      </c>
      <c r="BH61" s="35" t="b">
        <v>0</v>
      </c>
      <c r="BI61" s="35"/>
      <c r="BJ61" s="35" t="b">
        <v>0</v>
      </c>
      <c r="BK61" s="35" t="b">
        <v>1</v>
      </c>
      <c r="BL61" s="35" t="b">
        <v>0</v>
      </c>
      <c r="BM61" s="35" t="b">
        <v>0</v>
      </c>
      <c r="BN61" s="35" t="b">
        <v>1</v>
      </c>
      <c r="BO61" s="35" t="b">
        <v>0</v>
      </c>
      <c r="BP61" s="35" t="b">
        <v>0</v>
      </c>
      <c r="BQ61" s="35" t="b">
        <v>0</v>
      </c>
      <c r="BR61" s="35" t="b">
        <v>0</v>
      </c>
      <c r="BS61" s="35" t="b">
        <v>0</v>
      </c>
      <c r="BT61" s="35" t="b">
        <v>0</v>
      </c>
      <c r="BU61" s="35" t="b">
        <v>0</v>
      </c>
      <c r="BV61" s="35" t="b">
        <v>0</v>
      </c>
      <c r="BW61" s="35" t="b">
        <v>0</v>
      </c>
      <c r="BX61" s="35" t="b">
        <v>0</v>
      </c>
      <c r="BY61" s="35" t="b">
        <v>0</v>
      </c>
      <c r="BZ61" s="35" t="b">
        <v>0</v>
      </c>
      <c r="CA61" s="35" t="b">
        <v>0</v>
      </c>
      <c r="CB61" s="35" t="b">
        <v>0</v>
      </c>
      <c r="CC61" s="35" t="b">
        <v>0</v>
      </c>
      <c r="CD61" s="35" t="b">
        <v>1</v>
      </c>
    </row>
    <row r="62" spans="1:82" x14ac:dyDescent="0.3">
      <c r="A62" s="35" t="s">
        <v>159</v>
      </c>
      <c r="B62" s="35" t="s">
        <v>159</v>
      </c>
      <c r="C62" s="35">
        <f t="shared" si="1"/>
        <v>3</v>
      </c>
      <c r="D62" s="35" t="b">
        <v>0</v>
      </c>
      <c r="E62" s="35" t="b">
        <v>0</v>
      </c>
      <c r="F62" s="35" t="b">
        <v>0</v>
      </c>
      <c r="G62" s="35" t="b">
        <v>0</v>
      </c>
      <c r="H62" s="35" t="b">
        <v>0</v>
      </c>
      <c r="I62" s="35" t="b">
        <v>0</v>
      </c>
      <c r="J62" s="35" t="b">
        <v>1</v>
      </c>
      <c r="K62" s="35" t="b">
        <v>0</v>
      </c>
      <c r="L62" s="35" t="b">
        <v>0</v>
      </c>
      <c r="M62" s="35" t="b">
        <v>0</v>
      </c>
      <c r="N62" s="35" t="b">
        <v>0</v>
      </c>
      <c r="O62" s="35" t="b">
        <v>0</v>
      </c>
      <c r="P62" s="35" t="b">
        <v>0</v>
      </c>
      <c r="Q62" s="35" t="b">
        <v>0</v>
      </c>
      <c r="R62" s="35" t="b">
        <v>0</v>
      </c>
      <c r="S62" s="35" t="b">
        <v>0</v>
      </c>
      <c r="T62" s="35" t="b">
        <v>0</v>
      </c>
      <c r="U62" s="35" t="b">
        <v>0</v>
      </c>
      <c r="V62" s="35" t="b">
        <v>0</v>
      </c>
      <c r="W62" s="35" t="b">
        <v>0</v>
      </c>
      <c r="X62" s="35" t="b">
        <v>0</v>
      </c>
      <c r="Y62" s="35" t="b">
        <v>1</v>
      </c>
      <c r="Z62" s="35" t="b">
        <v>0</v>
      </c>
      <c r="AA62" s="35" t="b">
        <v>0</v>
      </c>
      <c r="AB62" s="35" t="b">
        <v>0</v>
      </c>
      <c r="AC62" s="35" t="b">
        <v>0</v>
      </c>
      <c r="AD62" s="35" t="b">
        <v>0</v>
      </c>
      <c r="AE62" s="35" t="b">
        <v>0</v>
      </c>
      <c r="AF62" s="35" t="b">
        <v>0</v>
      </c>
      <c r="AG62" s="35" t="b">
        <v>0</v>
      </c>
      <c r="AH62" s="35" t="b">
        <v>0</v>
      </c>
      <c r="AI62" s="35" t="b">
        <v>0</v>
      </c>
      <c r="AJ62" s="35" t="b">
        <v>0</v>
      </c>
      <c r="AK62" s="35" t="b">
        <v>0</v>
      </c>
      <c r="AL62" s="35" t="b">
        <v>0</v>
      </c>
      <c r="AM62" s="35" t="b">
        <v>0</v>
      </c>
      <c r="AN62" s="35" t="b">
        <v>0</v>
      </c>
      <c r="AO62" s="35" t="b">
        <v>0</v>
      </c>
      <c r="AP62" s="35" t="b">
        <v>0</v>
      </c>
      <c r="AQ62" s="35" t="b">
        <v>0</v>
      </c>
      <c r="AR62" s="35" t="b">
        <v>0</v>
      </c>
      <c r="AS62" s="35" t="b">
        <v>0</v>
      </c>
      <c r="AT62" s="35" t="b">
        <v>0</v>
      </c>
      <c r="AU62" s="35" t="b">
        <v>1</v>
      </c>
      <c r="AV62" s="35" t="b">
        <v>0</v>
      </c>
      <c r="AW62" s="35" t="b">
        <v>0</v>
      </c>
      <c r="AX62" s="35" t="b">
        <v>0</v>
      </c>
      <c r="AY62" s="35" t="b">
        <v>0</v>
      </c>
      <c r="AZ62" s="35" t="b">
        <v>0</v>
      </c>
      <c r="BA62" s="35" t="b">
        <v>0</v>
      </c>
      <c r="BB62" s="35" t="b">
        <v>0</v>
      </c>
      <c r="BC62" s="35" t="b">
        <v>0</v>
      </c>
      <c r="BD62" s="35" t="b">
        <v>0</v>
      </c>
      <c r="BE62" s="35" t="b">
        <v>0</v>
      </c>
      <c r="BF62" s="35" t="b">
        <v>0</v>
      </c>
      <c r="BG62" s="35" t="b">
        <v>0</v>
      </c>
      <c r="BH62" s="35" t="b">
        <v>0</v>
      </c>
      <c r="BI62" s="35" t="b">
        <v>0</v>
      </c>
      <c r="BJ62" s="35"/>
      <c r="BK62" s="35" t="b">
        <v>0</v>
      </c>
      <c r="BL62" s="35" t="b">
        <v>0</v>
      </c>
      <c r="BM62" s="35" t="b">
        <v>0</v>
      </c>
      <c r="BN62" s="35" t="b">
        <v>0</v>
      </c>
      <c r="BO62" s="35" t="b">
        <v>1</v>
      </c>
      <c r="BP62" s="35" t="b">
        <v>0</v>
      </c>
      <c r="BQ62" s="35" t="b">
        <v>0</v>
      </c>
      <c r="BR62" s="35" t="b">
        <v>0</v>
      </c>
      <c r="BS62" s="35" t="b">
        <v>0</v>
      </c>
      <c r="BT62" s="35" t="b">
        <v>0</v>
      </c>
      <c r="BU62" s="35" t="b">
        <v>0</v>
      </c>
      <c r="BV62" s="35" t="b">
        <v>0</v>
      </c>
      <c r="BW62" s="35" t="b">
        <v>0</v>
      </c>
      <c r="BX62" s="35" t="b">
        <v>0</v>
      </c>
      <c r="BY62" s="35" t="b">
        <v>0</v>
      </c>
      <c r="BZ62" s="35" t="b">
        <v>0</v>
      </c>
      <c r="CA62" s="35" t="b">
        <v>0</v>
      </c>
      <c r="CB62" s="35" t="b">
        <v>0</v>
      </c>
      <c r="CC62" s="35" t="b">
        <v>0</v>
      </c>
      <c r="CD62" s="35" t="b">
        <v>0</v>
      </c>
    </row>
    <row r="63" spans="1:82" x14ac:dyDescent="0.3">
      <c r="A63" s="35" t="s">
        <v>182</v>
      </c>
      <c r="B63" s="35" t="s">
        <v>182</v>
      </c>
      <c r="C63" s="35">
        <f t="shared" si="1"/>
        <v>6</v>
      </c>
      <c r="D63" s="35" t="b">
        <v>0</v>
      </c>
      <c r="E63" s="35" t="b">
        <v>1</v>
      </c>
      <c r="F63" s="35" t="b">
        <v>1</v>
      </c>
      <c r="G63" s="35" t="b">
        <v>0</v>
      </c>
      <c r="H63" s="35" t="b">
        <v>0</v>
      </c>
      <c r="I63" s="35" t="b">
        <v>0</v>
      </c>
      <c r="J63" s="35" t="b">
        <v>0</v>
      </c>
      <c r="K63" s="35" t="b">
        <v>0</v>
      </c>
      <c r="L63" s="35" t="b">
        <v>0</v>
      </c>
      <c r="M63" s="35" t="b">
        <v>0</v>
      </c>
      <c r="N63" s="35" t="b">
        <v>0</v>
      </c>
      <c r="O63" s="35" t="b">
        <v>0</v>
      </c>
      <c r="P63" s="35" t="b">
        <v>0</v>
      </c>
      <c r="Q63" s="35" t="b">
        <v>0</v>
      </c>
      <c r="R63" s="35" t="b">
        <v>1</v>
      </c>
      <c r="S63" s="35" t="b">
        <v>0</v>
      </c>
      <c r="T63" s="35" t="b">
        <v>1</v>
      </c>
      <c r="U63" s="35" t="b">
        <v>0</v>
      </c>
      <c r="V63" s="35" t="b">
        <v>0</v>
      </c>
      <c r="W63" s="35" t="b">
        <v>0</v>
      </c>
      <c r="X63" s="35" t="b">
        <v>0</v>
      </c>
      <c r="Y63" s="35" t="b">
        <v>0</v>
      </c>
      <c r="Z63" s="35" t="b">
        <v>0</v>
      </c>
      <c r="AA63" s="35" t="b">
        <v>1</v>
      </c>
      <c r="AB63" s="35" t="b">
        <v>0</v>
      </c>
      <c r="AC63" s="35" t="b">
        <v>0</v>
      </c>
      <c r="AD63" s="35" t="b">
        <v>0</v>
      </c>
      <c r="AE63" s="35" t="b">
        <v>0</v>
      </c>
      <c r="AF63" s="35" t="b">
        <v>1</v>
      </c>
      <c r="AG63" s="35" t="b">
        <v>0</v>
      </c>
      <c r="AH63" s="35" t="b">
        <v>0</v>
      </c>
      <c r="AI63" s="35" t="b">
        <v>0</v>
      </c>
      <c r="AJ63" s="35" t="b">
        <v>0</v>
      </c>
      <c r="AK63" s="35" t="b">
        <v>0</v>
      </c>
      <c r="AL63" s="35" t="b">
        <v>0</v>
      </c>
      <c r="AM63" s="35" t="b">
        <v>0</v>
      </c>
      <c r="AN63" s="35" t="b">
        <v>0</v>
      </c>
      <c r="AO63" s="35" t="b">
        <v>0</v>
      </c>
      <c r="AP63" s="35" t="b">
        <v>0</v>
      </c>
      <c r="AQ63" s="35" t="b">
        <v>0</v>
      </c>
      <c r="AR63" s="35" t="b">
        <v>0</v>
      </c>
      <c r="AS63" s="35" t="b">
        <v>0</v>
      </c>
      <c r="AT63" s="35" t="b">
        <v>0</v>
      </c>
      <c r="AU63" s="35" t="b">
        <v>0</v>
      </c>
      <c r="AV63" s="35" t="b">
        <v>0</v>
      </c>
      <c r="AW63" s="35" t="b">
        <v>0</v>
      </c>
      <c r="AX63" s="35" t="b">
        <v>0</v>
      </c>
      <c r="AY63" s="35" t="b">
        <v>0</v>
      </c>
      <c r="AZ63" s="35" t="b">
        <v>0</v>
      </c>
      <c r="BA63" s="35" t="b">
        <v>0</v>
      </c>
      <c r="BB63" s="35" t="b">
        <v>0</v>
      </c>
      <c r="BC63" s="35" t="b">
        <v>0</v>
      </c>
      <c r="BD63" s="35" t="b">
        <v>0</v>
      </c>
      <c r="BE63" s="35" t="b">
        <v>0</v>
      </c>
      <c r="BF63" s="35" t="b">
        <v>0</v>
      </c>
      <c r="BG63" s="35" t="b">
        <v>0</v>
      </c>
      <c r="BH63" s="35" t="b">
        <v>0</v>
      </c>
      <c r="BI63" s="35" t="b">
        <v>1</v>
      </c>
      <c r="BJ63" s="35" t="b">
        <v>0</v>
      </c>
      <c r="BK63" s="35"/>
      <c r="BL63" s="35" t="b">
        <v>0</v>
      </c>
      <c r="BM63" s="35" t="b">
        <v>0</v>
      </c>
      <c r="BN63" s="35" t="b">
        <v>0</v>
      </c>
      <c r="BO63" s="35" t="b">
        <v>0</v>
      </c>
      <c r="BP63" s="35" t="b">
        <v>0</v>
      </c>
      <c r="BQ63" s="35" t="b">
        <v>0</v>
      </c>
      <c r="BR63" s="35" t="b">
        <v>0</v>
      </c>
      <c r="BS63" s="35" t="b">
        <v>0</v>
      </c>
      <c r="BT63" s="35" t="b">
        <v>0</v>
      </c>
      <c r="BU63" s="35" t="b">
        <v>0</v>
      </c>
      <c r="BV63" s="35" t="b">
        <v>0</v>
      </c>
      <c r="BW63" s="35" t="b">
        <v>0</v>
      </c>
      <c r="BX63" s="35" t="b">
        <v>0</v>
      </c>
      <c r="BY63" s="35" t="b">
        <v>0</v>
      </c>
      <c r="BZ63" s="35" t="b">
        <v>0</v>
      </c>
      <c r="CA63" s="35" t="b">
        <v>0</v>
      </c>
      <c r="CB63" s="35" t="b">
        <v>0</v>
      </c>
      <c r="CC63" s="35" t="b">
        <v>0</v>
      </c>
      <c r="CD63" s="35" t="b">
        <v>0</v>
      </c>
    </row>
    <row r="64" spans="1:82" x14ac:dyDescent="0.3">
      <c r="A64" s="35" t="s">
        <v>183</v>
      </c>
      <c r="B64" s="35" t="s">
        <v>183</v>
      </c>
      <c r="C64" s="35">
        <f t="shared" si="1"/>
        <v>0</v>
      </c>
      <c r="D64" s="35" t="b">
        <v>0</v>
      </c>
      <c r="E64" s="35" t="b">
        <v>0</v>
      </c>
      <c r="F64" s="35" t="b">
        <v>0</v>
      </c>
      <c r="G64" s="35" t="b">
        <v>0</v>
      </c>
      <c r="H64" s="35" t="b">
        <v>0</v>
      </c>
      <c r="I64" s="35" t="b">
        <v>0</v>
      </c>
      <c r="J64" s="35" t="b">
        <v>0</v>
      </c>
      <c r="K64" s="35" t="b">
        <v>0</v>
      </c>
      <c r="L64" s="35" t="b">
        <v>0</v>
      </c>
      <c r="M64" s="35" t="b">
        <v>0</v>
      </c>
      <c r="N64" s="35" t="b">
        <v>0</v>
      </c>
      <c r="O64" s="35" t="b">
        <v>0</v>
      </c>
      <c r="P64" s="35" t="b">
        <v>0</v>
      </c>
      <c r="Q64" s="35" t="b">
        <v>0</v>
      </c>
      <c r="R64" s="35" t="b">
        <v>0</v>
      </c>
      <c r="S64" s="35" t="b">
        <v>0</v>
      </c>
      <c r="T64" s="35" t="b">
        <v>0</v>
      </c>
      <c r="U64" s="35" t="b">
        <v>0</v>
      </c>
      <c r="V64" s="35" t="b">
        <v>0</v>
      </c>
      <c r="W64" s="35" t="b">
        <v>0</v>
      </c>
      <c r="X64" s="35" t="b">
        <v>0</v>
      </c>
      <c r="Y64" s="35" t="b">
        <v>0</v>
      </c>
      <c r="Z64" s="35" t="b">
        <v>0</v>
      </c>
      <c r="AA64" s="35" t="b">
        <v>0</v>
      </c>
      <c r="AB64" s="35" t="b">
        <v>0</v>
      </c>
      <c r="AC64" s="35" t="b">
        <v>0</v>
      </c>
      <c r="AD64" s="35" t="b">
        <v>1</v>
      </c>
      <c r="AE64" s="35" t="b">
        <v>0</v>
      </c>
      <c r="AF64" s="35" t="b">
        <v>0</v>
      </c>
      <c r="AG64" s="35" t="b">
        <v>0</v>
      </c>
      <c r="AH64" s="35" t="b">
        <v>0</v>
      </c>
      <c r="AI64" s="35" t="b">
        <v>0</v>
      </c>
      <c r="AJ64" s="35" t="b">
        <v>0</v>
      </c>
      <c r="AK64" s="35" t="b">
        <v>0</v>
      </c>
      <c r="AL64" s="35" t="b">
        <v>0</v>
      </c>
      <c r="AM64" s="35" t="b">
        <v>0</v>
      </c>
      <c r="AN64" s="35" t="b">
        <v>0</v>
      </c>
      <c r="AO64" s="35" t="b">
        <v>0</v>
      </c>
      <c r="AP64" s="35" t="b">
        <v>0</v>
      </c>
      <c r="AQ64" s="35" t="b">
        <v>0</v>
      </c>
      <c r="AR64" s="35" t="b">
        <v>0</v>
      </c>
      <c r="AS64" s="35" t="b">
        <v>0</v>
      </c>
      <c r="AT64" s="35" t="b">
        <v>0</v>
      </c>
      <c r="AU64" s="35" t="b">
        <v>0</v>
      </c>
      <c r="AV64" s="35" t="b">
        <v>0</v>
      </c>
      <c r="AW64" s="35" t="b">
        <v>0</v>
      </c>
      <c r="AX64" s="35" t="b">
        <v>0</v>
      </c>
      <c r="AY64" s="35" t="b">
        <v>0</v>
      </c>
      <c r="AZ64" s="35" t="b">
        <v>0</v>
      </c>
      <c r="BA64" s="35" t="b">
        <v>0</v>
      </c>
      <c r="BB64" s="35" t="b">
        <v>0</v>
      </c>
      <c r="BC64" s="35" t="b">
        <v>0</v>
      </c>
      <c r="BD64" s="35" t="b">
        <v>0</v>
      </c>
      <c r="BE64" s="35" t="b">
        <v>0</v>
      </c>
      <c r="BF64" s="35" t="b">
        <v>0</v>
      </c>
      <c r="BG64" s="35" t="b">
        <v>0</v>
      </c>
      <c r="BH64" s="35" t="b">
        <v>0</v>
      </c>
      <c r="BI64" s="35" t="b">
        <v>0</v>
      </c>
      <c r="BJ64" s="35" t="b">
        <v>0</v>
      </c>
      <c r="BK64" s="35" t="b">
        <v>0</v>
      </c>
      <c r="BL64" s="35"/>
      <c r="BM64" s="35" t="b">
        <v>0</v>
      </c>
      <c r="BN64" s="35" t="b">
        <v>0</v>
      </c>
      <c r="BO64" s="35" t="b">
        <v>0</v>
      </c>
      <c r="BP64" s="35" t="b">
        <v>0</v>
      </c>
      <c r="BQ64" s="35" t="b">
        <v>0</v>
      </c>
      <c r="BR64" s="35" t="b">
        <v>0</v>
      </c>
      <c r="BS64" s="35" t="b">
        <v>0</v>
      </c>
      <c r="BT64" s="35" t="b">
        <v>0</v>
      </c>
      <c r="BU64" s="35" t="b">
        <v>0</v>
      </c>
      <c r="BV64" s="35" t="b">
        <v>0</v>
      </c>
      <c r="BW64" s="35" t="b">
        <v>0</v>
      </c>
      <c r="BX64" s="35" t="b">
        <v>0</v>
      </c>
      <c r="BY64" s="35" t="b">
        <v>0</v>
      </c>
      <c r="BZ64" s="35" t="b">
        <v>0</v>
      </c>
      <c r="CA64" s="35" t="b">
        <v>0</v>
      </c>
      <c r="CB64" s="35" t="b">
        <v>0</v>
      </c>
      <c r="CC64" s="35" t="b">
        <v>0</v>
      </c>
      <c r="CD64" s="35" t="b">
        <v>0</v>
      </c>
    </row>
    <row r="65" spans="1:82" x14ac:dyDescent="0.3">
      <c r="A65" s="35" t="s">
        <v>160</v>
      </c>
      <c r="B65" s="35" t="s">
        <v>160</v>
      </c>
      <c r="C65" s="35">
        <f t="shared" si="1"/>
        <v>4</v>
      </c>
      <c r="D65" s="35" t="b">
        <v>0</v>
      </c>
      <c r="E65" s="35" t="b">
        <v>0</v>
      </c>
      <c r="F65" s="35" t="b">
        <v>0</v>
      </c>
      <c r="G65" s="35" t="b">
        <v>0</v>
      </c>
      <c r="H65" s="35" t="b">
        <v>1</v>
      </c>
      <c r="I65" s="35" t="b">
        <v>1</v>
      </c>
      <c r="J65" s="35" t="b">
        <v>0</v>
      </c>
      <c r="K65" s="35" t="b">
        <v>0</v>
      </c>
      <c r="L65" s="35" t="b">
        <v>0</v>
      </c>
      <c r="M65" s="35" t="b">
        <v>0</v>
      </c>
      <c r="N65" s="35" t="b">
        <v>0</v>
      </c>
      <c r="O65" s="35" t="b">
        <v>0</v>
      </c>
      <c r="P65" s="35" t="b">
        <v>1</v>
      </c>
      <c r="Q65" s="35" t="b">
        <v>0</v>
      </c>
      <c r="R65" s="35" t="b">
        <v>0</v>
      </c>
      <c r="S65" s="35" t="b">
        <v>0</v>
      </c>
      <c r="T65" s="35" t="b">
        <v>0</v>
      </c>
      <c r="U65" s="35" t="b">
        <v>0</v>
      </c>
      <c r="V65" s="35" t="b">
        <v>0</v>
      </c>
      <c r="W65" s="35" t="b">
        <v>0</v>
      </c>
      <c r="X65" s="35" t="b">
        <v>0</v>
      </c>
      <c r="Y65" s="35" t="b">
        <v>0</v>
      </c>
      <c r="Z65" s="35" t="b">
        <v>0</v>
      </c>
      <c r="AA65" s="35" t="b">
        <v>0</v>
      </c>
      <c r="AB65" s="35" t="b">
        <v>0</v>
      </c>
      <c r="AC65" s="35" t="b">
        <v>0</v>
      </c>
      <c r="AD65" s="35" t="b">
        <v>0</v>
      </c>
      <c r="AE65" s="35" t="b">
        <v>0</v>
      </c>
      <c r="AF65" s="35" t="b">
        <v>0</v>
      </c>
      <c r="AG65" s="35" t="b">
        <v>0</v>
      </c>
      <c r="AH65" s="35" t="b">
        <v>0</v>
      </c>
      <c r="AI65" s="35" t="b">
        <v>0</v>
      </c>
      <c r="AJ65" s="35" t="b">
        <v>0</v>
      </c>
      <c r="AK65" s="35" t="b">
        <v>0</v>
      </c>
      <c r="AL65" s="35" t="b">
        <v>0</v>
      </c>
      <c r="AM65" s="35" t="b">
        <v>0</v>
      </c>
      <c r="AN65" s="35" t="b">
        <v>1</v>
      </c>
      <c r="AO65" s="35" t="b">
        <v>0</v>
      </c>
      <c r="AP65" s="35" t="b">
        <v>0</v>
      </c>
      <c r="AQ65" s="35" t="b">
        <v>0</v>
      </c>
      <c r="AR65" s="35" t="b">
        <v>0</v>
      </c>
      <c r="AS65" s="35" t="b">
        <v>0</v>
      </c>
      <c r="AT65" s="35" t="b">
        <v>0</v>
      </c>
      <c r="AU65" s="35" t="b">
        <v>0</v>
      </c>
      <c r="AV65" s="35" t="b">
        <v>0</v>
      </c>
      <c r="AW65" s="35" t="b">
        <v>0</v>
      </c>
      <c r="AX65" s="35" t="b">
        <v>0</v>
      </c>
      <c r="AY65" s="35" t="b">
        <v>0</v>
      </c>
      <c r="AZ65" s="35" t="b">
        <v>0</v>
      </c>
      <c r="BA65" s="35" t="b">
        <v>0</v>
      </c>
      <c r="BB65" s="35" t="b">
        <v>0</v>
      </c>
      <c r="BC65" s="35" t="b">
        <v>0</v>
      </c>
      <c r="BD65" s="35" t="b">
        <v>0</v>
      </c>
      <c r="BE65" s="35" t="b">
        <v>0</v>
      </c>
      <c r="BF65" s="35" t="b">
        <v>0</v>
      </c>
      <c r="BG65" s="35" t="b">
        <v>0</v>
      </c>
      <c r="BH65" s="35" t="b">
        <v>0</v>
      </c>
      <c r="BI65" s="35" t="b">
        <v>0</v>
      </c>
      <c r="BJ65" s="35" t="b">
        <v>0</v>
      </c>
      <c r="BK65" s="35" t="b">
        <v>0</v>
      </c>
      <c r="BL65" s="35" t="b">
        <v>0</v>
      </c>
      <c r="BM65" s="35"/>
      <c r="BN65" s="35" t="b">
        <v>0</v>
      </c>
      <c r="BO65" s="35" t="b">
        <v>0</v>
      </c>
      <c r="BP65" s="35" t="b">
        <v>0</v>
      </c>
      <c r="BQ65" s="35" t="b">
        <v>0</v>
      </c>
      <c r="BR65" s="35" t="b">
        <v>0</v>
      </c>
      <c r="BS65" s="35" t="b">
        <v>0</v>
      </c>
      <c r="BT65" s="35" t="b">
        <v>0</v>
      </c>
      <c r="BU65" s="35" t="b">
        <v>0</v>
      </c>
      <c r="BV65" s="35" t="b">
        <v>1</v>
      </c>
      <c r="BW65" s="35" t="b">
        <v>0</v>
      </c>
      <c r="BX65" s="35" t="b">
        <v>0</v>
      </c>
      <c r="BY65" s="35" t="b">
        <v>0</v>
      </c>
      <c r="BZ65" s="35" t="b">
        <v>0</v>
      </c>
      <c r="CA65" s="35" t="b">
        <v>0</v>
      </c>
      <c r="CB65" s="35" t="b">
        <v>0</v>
      </c>
      <c r="CC65" s="35" t="b">
        <v>0</v>
      </c>
      <c r="CD65" s="35" t="b">
        <v>0</v>
      </c>
    </row>
    <row r="66" spans="1:82" x14ac:dyDescent="0.3">
      <c r="A66" s="35" t="s">
        <v>184</v>
      </c>
      <c r="B66" s="35" t="s">
        <v>184</v>
      </c>
      <c r="C66" s="35">
        <f t="shared" si="1"/>
        <v>5</v>
      </c>
      <c r="D66" s="35" t="b">
        <v>0</v>
      </c>
      <c r="E66" s="35" t="b">
        <v>1</v>
      </c>
      <c r="F66" s="35" t="b">
        <v>0</v>
      </c>
      <c r="G66" s="35" t="b">
        <v>0</v>
      </c>
      <c r="H66" s="35" t="b">
        <v>0</v>
      </c>
      <c r="I66" s="35" t="b">
        <v>0</v>
      </c>
      <c r="J66" s="35" t="b">
        <v>0</v>
      </c>
      <c r="K66" s="35" t="b">
        <v>0</v>
      </c>
      <c r="L66" s="35" t="b">
        <v>0</v>
      </c>
      <c r="M66" s="35" t="b">
        <v>0</v>
      </c>
      <c r="N66" s="35" t="b">
        <v>0</v>
      </c>
      <c r="O66" s="35" t="b">
        <v>0</v>
      </c>
      <c r="P66" s="35" t="b">
        <v>0</v>
      </c>
      <c r="Q66" s="35" t="b">
        <v>0</v>
      </c>
      <c r="R66" s="35" t="b">
        <v>0</v>
      </c>
      <c r="S66" s="35" t="b">
        <v>0</v>
      </c>
      <c r="T66" s="35" t="b">
        <v>0</v>
      </c>
      <c r="U66" s="35" t="b">
        <v>0</v>
      </c>
      <c r="V66" s="35" t="b">
        <v>0</v>
      </c>
      <c r="W66" s="35" t="b">
        <v>0</v>
      </c>
      <c r="X66" s="35" t="b">
        <v>0</v>
      </c>
      <c r="Y66" s="35" t="b">
        <v>0</v>
      </c>
      <c r="Z66" s="35" t="b">
        <v>1</v>
      </c>
      <c r="AA66" s="35" t="b">
        <v>0</v>
      </c>
      <c r="AB66" s="35" t="b">
        <v>0</v>
      </c>
      <c r="AC66" s="35" t="b">
        <v>0</v>
      </c>
      <c r="AD66" s="35" t="b">
        <v>0</v>
      </c>
      <c r="AE66" s="35" t="b">
        <v>0</v>
      </c>
      <c r="AF66" s="35" t="b">
        <v>0</v>
      </c>
      <c r="AG66" s="35" t="b">
        <v>0</v>
      </c>
      <c r="AH66" s="35" t="b">
        <v>0</v>
      </c>
      <c r="AI66" s="35" t="b">
        <v>1</v>
      </c>
      <c r="AJ66" s="35" t="b">
        <v>0</v>
      </c>
      <c r="AK66" s="35" t="b">
        <v>0</v>
      </c>
      <c r="AL66" s="35" t="b">
        <v>0</v>
      </c>
      <c r="AM66" s="35" t="b">
        <v>0</v>
      </c>
      <c r="AN66" s="35" t="b">
        <v>0</v>
      </c>
      <c r="AO66" s="35" t="b">
        <v>0</v>
      </c>
      <c r="AP66" s="35" t="b">
        <v>0</v>
      </c>
      <c r="AQ66" s="35" t="b">
        <v>0</v>
      </c>
      <c r="AR66" s="35" t="b">
        <v>0</v>
      </c>
      <c r="AS66" s="35" t="b">
        <v>0</v>
      </c>
      <c r="AT66" s="35" t="b">
        <v>0</v>
      </c>
      <c r="AU66" s="35" t="b">
        <v>0</v>
      </c>
      <c r="AV66" s="35" t="b">
        <v>0</v>
      </c>
      <c r="AW66" s="35" t="b">
        <v>0</v>
      </c>
      <c r="AX66" s="35" t="b">
        <v>0</v>
      </c>
      <c r="AY66" s="35" t="b">
        <v>0</v>
      </c>
      <c r="AZ66" s="35" t="b">
        <v>0</v>
      </c>
      <c r="BA66" s="35" t="b">
        <v>0</v>
      </c>
      <c r="BB66" s="35" t="b">
        <v>0</v>
      </c>
      <c r="BC66" s="35" t="b">
        <v>0</v>
      </c>
      <c r="BD66" s="35" t="b">
        <v>0</v>
      </c>
      <c r="BE66" s="35" t="b">
        <v>0</v>
      </c>
      <c r="BF66" s="35" t="b">
        <v>1</v>
      </c>
      <c r="BG66" s="35" t="b">
        <v>0</v>
      </c>
      <c r="BH66" s="35" t="b">
        <v>0</v>
      </c>
      <c r="BI66" s="35" t="b">
        <v>1</v>
      </c>
      <c r="BJ66" s="35" t="b">
        <v>0</v>
      </c>
      <c r="BK66" s="35" t="b">
        <v>0</v>
      </c>
      <c r="BL66" s="35" t="b">
        <v>0</v>
      </c>
      <c r="BM66" s="35" t="b">
        <v>0</v>
      </c>
      <c r="BN66" s="35"/>
      <c r="BO66" s="35" t="b">
        <v>0</v>
      </c>
      <c r="BP66" s="35" t="b">
        <v>0</v>
      </c>
      <c r="BQ66" s="35" t="b">
        <v>0</v>
      </c>
      <c r="BR66" s="35" t="b">
        <v>0</v>
      </c>
      <c r="BS66" s="35" t="b">
        <v>0</v>
      </c>
      <c r="BT66" s="35" t="b">
        <v>0</v>
      </c>
      <c r="BU66" s="35" t="b">
        <v>0</v>
      </c>
      <c r="BV66" s="35" t="b">
        <v>0</v>
      </c>
      <c r="BW66" s="35" t="b">
        <v>1</v>
      </c>
      <c r="BX66" s="35" t="b">
        <v>0</v>
      </c>
      <c r="BY66" s="35" t="b">
        <v>0</v>
      </c>
      <c r="BZ66" s="35" t="b">
        <v>0</v>
      </c>
      <c r="CA66" s="35" t="b">
        <v>0</v>
      </c>
      <c r="CB66" s="35" t="b">
        <v>0</v>
      </c>
      <c r="CC66" s="35" t="b">
        <v>0</v>
      </c>
      <c r="CD66" s="35" t="b">
        <v>0</v>
      </c>
    </row>
    <row r="67" spans="1:82" x14ac:dyDescent="0.3">
      <c r="A67" s="35" t="s">
        <v>161</v>
      </c>
      <c r="B67" s="35" t="s">
        <v>161</v>
      </c>
      <c r="C67" s="35">
        <f t="shared" si="1"/>
        <v>5</v>
      </c>
      <c r="D67" s="35" t="b">
        <v>0</v>
      </c>
      <c r="E67" s="35" t="b">
        <v>0</v>
      </c>
      <c r="F67" s="35" t="b">
        <v>0</v>
      </c>
      <c r="G67" s="35" t="b">
        <v>0</v>
      </c>
      <c r="H67" s="35" t="b">
        <v>0</v>
      </c>
      <c r="I67" s="35" t="b">
        <v>0</v>
      </c>
      <c r="J67" s="35" t="b">
        <v>0</v>
      </c>
      <c r="K67" s="35" t="b">
        <v>0</v>
      </c>
      <c r="L67" s="35" t="b">
        <v>1</v>
      </c>
      <c r="M67" s="35" t="b">
        <v>0</v>
      </c>
      <c r="N67" s="35" t="b">
        <v>0</v>
      </c>
      <c r="O67" s="35" t="b">
        <v>0</v>
      </c>
      <c r="P67" s="35" t="b">
        <v>0</v>
      </c>
      <c r="Q67" s="35" t="b">
        <v>0</v>
      </c>
      <c r="R67" s="35" t="b">
        <v>0</v>
      </c>
      <c r="S67" s="35" t="b">
        <v>0</v>
      </c>
      <c r="T67" s="35" t="b">
        <v>0</v>
      </c>
      <c r="U67" s="35" t="b">
        <v>0</v>
      </c>
      <c r="V67" s="35" t="b">
        <v>0</v>
      </c>
      <c r="W67" s="35" t="b">
        <v>0</v>
      </c>
      <c r="X67" s="35" t="b">
        <v>0</v>
      </c>
      <c r="Y67" s="35" t="b">
        <v>1</v>
      </c>
      <c r="Z67" s="35" t="b">
        <v>0</v>
      </c>
      <c r="AA67" s="35" t="b">
        <v>0</v>
      </c>
      <c r="AB67" s="35" t="b">
        <v>0</v>
      </c>
      <c r="AC67" s="35" t="b">
        <v>0</v>
      </c>
      <c r="AD67" s="35" t="b">
        <v>0</v>
      </c>
      <c r="AE67" s="35" t="b">
        <v>0</v>
      </c>
      <c r="AF67" s="35" t="b">
        <v>0</v>
      </c>
      <c r="AG67" s="35" t="b">
        <v>0</v>
      </c>
      <c r="AH67" s="35" t="b">
        <v>0</v>
      </c>
      <c r="AI67" s="35" t="b">
        <v>0</v>
      </c>
      <c r="AJ67" s="35" t="b">
        <v>0</v>
      </c>
      <c r="AK67" s="35" t="b">
        <v>0</v>
      </c>
      <c r="AL67" s="35" t="b">
        <v>0</v>
      </c>
      <c r="AM67" s="35" t="b">
        <v>0</v>
      </c>
      <c r="AN67" s="35" t="b">
        <v>0</v>
      </c>
      <c r="AO67" s="35" t="b">
        <v>0</v>
      </c>
      <c r="AP67" s="35" t="b">
        <v>0</v>
      </c>
      <c r="AQ67" s="35" t="b">
        <v>0</v>
      </c>
      <c r="AR67" s="35" t="b">
        <v>0</v>
      </c>
      <c r="AS67" s="35" t="b">
        <v>0</v>
      </c>
      <c r="AT67" s="35" t="b">
        <v>0</v>
      </c>
      <c r="AU67" s="35" t="b">
        <v>1</v>
      </c>
      <c r="AV67" s="35" t="b">
        <v>0</v>
      </c>
      <c r="AW67" s="35" t="b">
        <v>0</v>
      </c>
      <c r="AX67" s="35" t="b">
        <v>0</v>
      </c>
      <c r="AY67" s="35" t="b">
        <v>0</v>
      </c>
      <c r="AZ67" s="35" t="b">
        <v>1</v>
      </c>
      <c r="BA67" s="35" t="b">
        <v>0</v>
      </c>
      <c r="BB67" s="35" t="b">
        <v>0</v>
      </c>
      <c r="BC67" s="35" t="b">
        <v>0</v>
      </c>
      <c r="BD67" s="35" t="b">
        <v>0</v>
      </c>
      <c r="BE67" s="35" t="b">
        <v>0</v>
      </c>
      <c r="BF67" s="35" t="b">
        <v>0</v>
      </c>
      <c r="BG67" s="35" t="b">
        <v>0</v>
      </c>
      <c r="BH67" s="35" t="b">
        <v>0</v>
      </c>
      <c r="BI67" s="35" t="b">
        <v>0</v>
      </c>
      <c r="BJ67" s="35" t="b">
        <v>1</v>
      </c>
      <c r="BK67" s="35" t="b">
        <v>0</v>
      </c>
      <c r="BL67" s="35" t="b">
        <v>0</v>
      </c>
      <c r="BM67" s="35" t="b">
        <v>0</v>
      </c>
      <c r="BN67" s="35" t="b">
        <v>0</v>
      </c>
      <c r="BO67" s="35"/>
      <c r="BP67" s="35" t="b">
        <v>0</v>
      </c>
      <c r="BQ67" s="35" t="b">
        <v>0</v>
      </c>
      <c r="BR67" s="35" t="b">
        <v>0</v>
      </c>
      <c r="BS67" s="35" t="b">
        <v>0</v>
      </c>
      <c r="BT67" s="35" t="b">
        <v>0</v>
      </c>
      <c r="BU67" s="35" t="b">
        <v>0</v>
      </c>
      <c r="BV67" s="35" t="b">
        <v>0</v>
      </c>
      <c r="BW67" s="35" t="b">
        <v>0</v>
      </c>
      <c r="BX67" s="35" t="b">
        <v>0</v>
      </c>
      <c r="BY67" s="35" t="b">
        <v>0</v>
      </c>
      <c r="BZ67" s="35" t="b">
        <v>0</v>
      </c>
      <c r="CA67" s="35" t="b">
        <v>0</v>
      </c>
      <c r="CB67" s="35" t="b">
        <v>1</v>
      </c>
      <c r="CC67" s="35" t="b">
        <v>0</v>
      </c>
      <c r="CD67" s="35" t="b">
        <v>0</v>
      </c>
    </row>
    <row r="68" spans="1:82" x14ac:dyDescent="0.3">
      <c r="A68" s="35" t="s">
        <v>124</v>
      </c>
      <c r="B68" s="35" t="s">
        <v>124</v>
      </c>
      <c r="C68" s="35">
        <f t="shared" ref="C68:C82" si="2">COUNTIFS($D68:$CD68,"TRUE")-1</f>
        <v>6</v>
      </c>
      <c r="D68" s="35" t="b">
        <v>0</v>
      </c>
      <c r="E68" s="35" t="b">
        <v>0</v>
      </c>
      <c r="F68" s="35" t="b">
        <v>0</v>
      </c>
      <c r="G68" s="35" t="b">
        <v>0</v>
      </c>
      <c r="H68" s="35" t="b">
        <v>0</v>
      </c>
      <c r="I68" s="35" t="b">
        <v>0</v>
      </c>
      <c r="J68" s="35" t="b">
        <v>0</v>
      </c>
      <c r="K68" s="35" t="b">
        <v>1</v>
      </c>
      <c r="L68" s="35" t="b">
        <v>0</v>
      </c>
      <c r="M68" s="35" t="b">
        <v>0</v>
      </c>
      <c r="N68" s="35" t="b">
        <v>0</v>
      </c>
      <c r="O68" s="35" t="b">
        <v>1</v>
      </c>
      <c r="P68" s="35" t="b">
        <v>0</v>
      </c>
      <c r="Q68" s="35" t="b">
        <v>0</v>
      </c>
      <c r="R68" s="35" t="b">
        <v>0</v>
      </c>
      <c r="S68" s="35" t="b">
        <v>0</v>
      </c>
      <c r="T68" s="35" t="b">
        <v>0</v>
      </c>
      <c r="U68" s="35" t="b">
        <v>0</v>
      </c>
      <c r="V68" s="35" t="b">
        <v>0</v>
      </c>
      <c r="W68" s="35" t="b">
        <v>0</v>
      </c>
      <c r="X68" s="35" t="b">
        <v>0</v>
      </c>
      <c r="Y68" s="35" t="b">
        <v>0</v>
      </c>
      <c r="Z68" s="35" t="b">
        <v>0</v>
      </c>
      <c r="AA68" s="35" t="b">
        <v>0</v>
      </c>
      <c r="AB68" s="35" t="b">
        <v>1</v>
      </c>
      <c r="AC68" s="35" t="b">
        <v>0</v>
      </c>
      <c r="AD68" s="35" t="b">
        <v>0</v>
      </c>
      <c r="AE68" s="35" t="b">
        <v>1</v>
      </c>
      <c r="AF68" s="35" t="b">
        <v>0</v>
      </c>
      <c r="AG68" s="35" t="b">
        <v>0</v>
      </c>
      <c r="AH68" s="35" t="b">
        <v>0</v>
      </c>
      <c r="AI68" s="35" t="b">
        <v>0</v>
      </c>
      <c r="AJ68" s="35" t="b">
        <v>0</v>
      </c>
      <c r="AK68" s="35" t="b">
        <v>0</v>
      </c>
      <c r="AL68" s="35" t="b">
        <v>0</v>
      </c>
      <c r="AM68" s="35" t="b">
        <v>0</v>
      </c>
      <c r="AN68" s="35" t="b">
        <v>0</v>
      </c>
      <c r="AO68" s="35" t="b">
        <v>0</v>
      </c>
      <c r="AP68" s="35" t="b">
        <v>0</v>
      </c>
      <c r="AQ68" s="35" t="b">
        <v>0</v>
      </c>
      <c r="AR68" s="35" t="b">
        <v>1</v>
      </c>
      <c r="AS68" s="35" t="b">
        <v>0</v>
      </c>
      <c r="AT68" s="35" t="b">
        <v>0</v>
      </c>
      <c r="AU68" s="35" t="b">
        <v>0</v>
      </c>
      <c r="AV68" s="35" t="b">
        <v>0</v>
      </c>
      <c r="AW68" s="35" t="b">
        <v>0</v>
      </c>
      <c r="AX68" s="35" t="b">
        <v>1</v>
      </c>
      <c r="AY68" s="35" t="b">
        <v>0</v>
      </c>
      <c r="AZ68" s="35" t="b">
        <v>0</v>
      </c>
      <c r="BA68" s="35" t="b">
        <v>0</v>
      </c>
      <c r="BB68" s="35" t="b">
        <v>0</v>
      </c>
      <c r="BC68" s="35" t="b">
        <v>0</v>
      </c>
      <c r="BD68" s="35" t="b">
        <v>0</v>
      </c>
      <c r="BE68" s="35" t="b">
        <v>0</v>
      </c>
      <c r="BF68" s="35" t="b">
        <v>0</v>
      </c>
      <c r="BG68" s="35" t="b">
        <v>1</v>
      </c>
      <c r="BH68" s="35" t="b">
        <v>0</v>
      </c>
      <c r="BI68" s="35" t="b">
        <v>0</v>
      </c>
      <c r="BJ68" s="35" t="b">
        <v>0</v>
      </c>
      <c r="BK68" s="35" t="b">
        <v>0</v>
      </c>
      <c r="BL68" s="35" t="b">
        <v>0</v>
      </c>
      <c r="BM68" s="35" t="b">
        <v>0</v>
      </c>
      <c r="BN68" s="35" t="b">
        <v>0</v>
      </c>
      <c r="BO68" s="35" t="b">
        <v>0</v>
      </c>
      <c r="BP68" s="35"/>
      <c r="BQ68" s="35" t="b">
        <v>0</v>
      </c>
      <c r="BR68" s="35" t="b">
        <v>0</v>
      </c>
      <c r="BS68" s="35" t="b">
        <v>0</v>
      </c>
      <c r="BT68" s="35" t="b">
        <v>0</v>
      </c>
      <c r="BU68" s="35" t="b">
        <v>0</v>
      </c>
      <c r="BV68" s="35" t="b">
        <v>0</v>
      </c>
      <c r="BW68" s="35" t="b">
        <v>0</v>
      </c>
      <c r="BX68" s="35" t="b">
        <v>0</v>
      </c>
      <c r="BY68" s="35" t="b">
        <v>0</v>
      </c>
      <c r="BZ68" s="35" t="b">
        <v>0</v>
      </c>
      <c r="CA68" s="35" t="b">
        <v>0</v>
      </c>
      <c r="CB68" s="35" t="b">
        <v>0</v>
      </c>
      <c r="CC68" s="35" t="b">
        <v>0</v>
      </c>
      <c r="CD68" s="35" t="b">
        <v>0</v>
      </c>
    </row>
    <row r="69" spans="1:82" x14ac:dyDescent="0.3">
      <c r="A69" s="35" t="s">
        <v>185</v>
      </c>
      <c r="B69" s="35" t="s">
        <v>185</v>
      </c>
      <c r="C69" s="35">
        <f t="shared" si="2"/>
        <v>2</v>
      </c>
      <c r="D69" s="35" t="b">
        <v>0</v>
      </c>
      <c r="E69" s="35" t="b">
        <v>0</v>
      </c>
      <c r="F69" s="35" t="b">
        <v>0</v>
      </c>
      <c r="G69" s="35" t="b">
        <v>0</v>
      </c>
      <c r="H69" s="35" t="b">
        <v>0</v>
      </c>
      <c r="I69" s="35" t="b">
        <v>0</v>
      </c>
      <c r="J69" s="35" t="b">
        <v>0</v>
      </c>
      <c r="K69" s="35" t="b">
        <v>0</v>
      </c>
      <c r="L69" s="35" t="b">
        <v>0</v>
      </c>
      <c r="M69" s="35" t="b">
        <v>0</v>
      </c>
      <c r="N69" s="35" t="b">
        <v>0</v>
      </c>
      <c r="O69" s="35" t="b">
        <v>0</v>
      </c>
      <c r="P69" s="35" t="b">
        <v>0</v>
      </c>
      <c r="Q69" s="35" t="b">
        <v>0</v>
      </c>
      <c r="R69" s="35" t="b">
        <v>0</v>
      </c>
      <c r="S69" s="35" t="b">
        <v>1</v>
      </c>
      <c r="T69" s="35" t="b">
        <v>0</v>
      </c>
      <c r="U69" s="35" t="b">
        <v>0</v>
      </c>
      <c r="V69" s="35" t="b">
        <v>0</v>
      </c>
      <c r="W69" s="35" t="b">
        <v>0</v>
      </c>
      <c r="X69" s="35" t="b">
        <v>0</v>
      </c>
      <c r="Y69" s="35" t="b">
        <v>0</v>
      </c>
      <c r="Z69" s="35" t="b">
        <v>0</v>
      </c>
      <c r="AA69" s="35" t="b">
        <v>1</v>
      </c>
      <c r="AB69" s="35" t="b">
        <v>0</v>
      </c>
      <c r="AC69" s="35" t="b">
        <v>0</v>
      </c>
      <c r="AD69" s="35" t="b">
        <v>1</v>
      </c>
      <c r="AE69" s="35" t="b">
        <v>0</v>
      </c>
      <c r="AF69" s="35" t="b">
        <v>0</v>
      </c>
      <c r="AG69" s="35" t="b">
        <v>0</v>
      </c>
      <c r="AH69" s="35" t="b">
        <v>0</v>
      </c>
      <c r="AI69" s="35" t="b">
        <v>0</v>
      </c>
      <c r="AJ69" s="35" t="b">
        <v>0</v>
      </c>
      <c r="AK69" s="35" t="b">
        <v>0</v>
      </c>
      <c r="AL69" s="35" t="b">
        <v>0</v>
      </c>
      <c r="AM69" s="35" t="b">
        <v>0</v>
      </c>
      <c r="AN69" s="35" t="b">
        <v>0</v>
      </c>
      <c r="AO69" s="35" t="b">
        <v>0</v>
      </c>
      <c r="AP69" s="35" t="b">
        <v>0</v>
      </c>
      <c r="AQ69" s="35" t="b">
        <v>0</v>
      </c>
      <c r="AR69" s="35" t="b">
        <v>0</v>
      </c>
      <c r="AS69" s="35" t="b">
        <v>0</v>
      </c>
      <c r="AT69" s="35" t="b">
        <v>0</v>
      </c>
      <c r="AU69" s="35" t="b">
        <v>0</v>
      </c>
      <c r="AV69" s="35" t="b">
        <v>0</v>
      </c>
      <c r="AW69" s="35" t="b">
        <v>0</v>
      </c>
      <c r="AX69" s="35" t="b">
        <v>0</v>
      </c>
      <c r="AY69" s="35" t="b">
        <v>0</v>
      </c>
      <c r="AZ69" s="35" t="b">
        <v>0</v>
      </c>
      <c r="BA69" s="35" t="b">
        <v>0</v>
      </c>
      <c r="BB69" s="35" t="b">
        <v>0</v>
      </c>
      <c r="BC69" s="35" t="b">
        <v>0</v>
      </c>
      <c r="BD69" s="35" t="b">
        <v>0</v>
      </c>
      <c r="BE69" s="35" t="b">
        <v>0</v>
      </c>
      <c r="BF69" s="35" t="b">
        <v>0</v>
      </c>
      <c r="BG69" s="35" t="b">
        <v>0</v>
      </c>
      <c r="BH69" s="35" t="b">
        <v>0</v>
      </c>
      <c r="BI69" s="35" t="b">
        <v>0</v>
      </c>
      <c r="BJ69" s="35" t="b">
        <v>0</v>
      </c>
      <c r="BK69" s="35" t="b">
        <v>0</v>
      </c>
      <c r="BL69" s="35" t="b">
        <v>0</v>
      </c>
      <c r="BM69" s="35" t="b">
        <v>0</v>
      </c>
      <c r="BN69" s="35" t="b">
        <v>0</v>
      </c>
      <c r="BO69" s="35" t="b">
        <v>0</v>
      </c>
      <c r="BP69" s="35" t="b">
        <v>0</v>
      </c>
      <c r="BQ69" s="35"/>
      <c r="BR69" s="35" t="b">
        <v>0</v>
      </c>
      <c r="BS69" s="35" t="b">
        <v>0</v>
      </c>
      <c r="BT69" s="35" t="b">
        <v>0</v>
      </c>
      <c r="BU69" s="35" t="b">
        <v>0</v>
      </c>
      <c r="BV69" s="35" t="b">
        <v>0</v>
      </c>
      <c r="BW69" s="35" t="b">
        <v>0</v>
      </c>
      <c r="BX69" s="35" t="b">
        <v>0</v>
      </c>
      <c r="BY69" s="35" t="b">
        <v>0</v>
      </c>
      <c r="BZ69" s="35" t="b">
        <v>0</v>
      </c>
      <c r="CA69" s="35" t="b">
        <v>0</v>
      </c>
      <c r="CB69" s="35" t="b">
        <v>0</v>
      </c>
      <c r="CC69" s="35" t="b">
        <v>0</v>
      </c>
      <c r="CD69" s="35" t="b">
        <v>0</v>
      </c>
    </row>
    <row r="70" spans="1:82" x14ac:dyDescent="0.3">
      <c r="A70" s="35" t="s">
        <v>144</v>
      </c>
      <c r="B70" s="35" t="s">
        <v>144</v>
      </c>
      <c r="C70" s="35">
        <f t="shared" si="2"/>
        <v>2</v>
      </c>
      <c r="D70" s="35" t="b">
        <v>0</v>
      </c>
      <c r="E70" s="35" t="b">
        <v>0</v>
      </c>
      <c r="F70" s="35" t="b">
        <v>0</v>
      </c>
      <c r="G70" s="35" t="b">
        <v>0</v>
      </c>
      <c r="H70" s="35" t="b">
        <v>0</v>
      </c>
      <c r="I70" s="35" t="b">
        <v>0</v>
      </c>
      <c r="J70" s="35" t="b">
        <v>0</v>
      </c>
      <c r="K70" s="35" t="b">
        <v>0</v>
      </c>
      <c r="L70" s="35" t="b">
        <v>0</v>
      </c>
      <c r="M70" s="35" t="b">
        <v>0</v>
      </c>
      <c r="N70" s="35" t="b">
        <v>1</v>
      </c>
      <c r="O70" s="35" t="b">
        <v>0</v>
      </c>
      <c r="P70" s="35" t="b">
        <v>0</v>
      </c>
      <c r="Q70" s="35" t="b">
        <v>0</v>
      </c>
      <c r="R70" s="35" t="b">
        <v>0</v>
      </c>
      <c r="S70" s="35" t="b">
        <v>0</v>
      </c>
      <c r="T70" s="35" t="b">
        <v>0</v>
      </c>
      <c r="U70" s="35" t="b">
        <v>0</v>
      </c>
      <c r="V70" s="35" t="b">
        <v>0</v>
      </c>
      <c r="W70" s="35" t="b">
        <v>0</v>
      </c>
      <c r="X70" s="35" t="b">
        <v>1</v>
      </c>
      <c r="Y70" s="35" t="b">
        <v>0</v>
      </c>
      <c r="Z70" s="35" t="b">
        <v>0</v>
      </c>
      <c r="AA70" s="35" t="b">
        <v>0</v>
      </c>
      <c r="AB70" s="35" t="b">
        <v>0</v>
      </c>
      <c r="AC70" s="35" t="b">
        <v>0</v>
      </c>
      <c r="AD70" s="35" t="b">
        <v>0</v>
      </c>
      <c r="AE70" s="35" t="b">
        <v>0</v>
      </c>
      <c r="AF70" s="35" t="b">
        <v>0</v>
      </c>
      <c r="AG70" s="35" t="b">
        <v>0</v>
      </c>
      <c r="AH70" s="35" t="b">
        <v>0</v>
      </c>
      <c r="AI70" s="35" t="b">
        <v>0</v>
      </c>
      <c r="AJ70" s="35" t="b">
        <v>0</v>
      </c>
      <c r="AK70" s="35" t="b">
        <v>0</v>
      </c>
      <c r="AL70" s="35" t="b">
        <v>0</v>
      </c>
      <c r="AM70" s="35" t="b">
        <v>0</v>
      </c>
      <c r="AN70" s="35" t="b">
        <v>0</v>
      </c>
      <c r="AO70" s="35" t="b">
        <v>0</v>
      </c>
      <c r="AP70" s="35" t="b">
        <v>0</v>
      </c>
      <c r="AQ70" s="35" t="b">
        <v>0</v>
      </c>
      <c r="AR70" s="35" t="b">
        <v>0</v>
      </c>
      <c r="AS70" s="35" t="b">
        <v>0</v>
      </c>
      <c r="AT70" s="35" t="b">
        <v>0</v>
      </c>
      <c r="AU70" s="35" t="b">
        <v>0</v>
      </c>
      <c r="AV70" s="35" t="b">
        <v>0</v>
      </c>
      <c r="AW70" s="35" t="b">
        <v>1</v>
      </c>
      <c r="AX70" s="35" t="b">
        <v>0</v>
      </c>
      <c r="AY70" s="35" t="b">
        <v>0</v>
      </c>
      <c r="AZ70" s="35" t="b">
        <v>0</v>
      </c>
      <c r="BA70" s="35" t="b">
        <v>0</v>
      </c>
      <c r="BB70" s="35" t="b">
        <v>0</v>
      </c>
      <c r="BC70" s="35" t="b">
        <v>0</v>
      </c>
      <c r="BD70" s="35" t="b">
        <v>0</v>
      </c>
      <c r="BE70" s="35" t="b">
        <v>0</v>
      </c>
      <c r="BF70" s="35" t="b">
        <v>0</v>
      </c>
      <c r="BG70" s="35" t="b">
        <v>0</v>
      </c>
      <c r="BH70" s="35" t="b">
        <v>0</v>
      </c>
      <c r="BI70" s="35" t="b">
        <v>0</v>
      </c>
      <c r="BJ70" s="35" t="b">
        <v>0</v>
      </c>
      <c r="BK70" s="35" t="b">
        <v>0</v>
      </c>
      <c r="BL70" s="35" t="b">
        <v>0</v>
      </c>
      <c r="BM70" s="35" t="b">
        <v>0</v>
      </c>
      <c r="BN70" s="35" t="b">
        <v>0</v>
      </c>
      <c r="BO70" s="35" t="b">
        <v>0</v>
      </c>
      <c r="BP70" s="35" t="b">
        <v>0</v>
      </c>
      <c r="BQ70" s="35" t="b">
        <v>0</v>
      </c>
      <c r="BR70" s="35"/>
      <c r="BS70" s="35" t="b">
        <v>0</v>
      </c>
      <c r="BT70" s="35" t="b">
        <v>0</v>
      </c>
      <c r="BU70" s="35" t="b">
        <v>0</v>
      </c>
      <c r="BV70" s="35" t="b">
        <v>0</v>
      </c>
      <c r="BW70" s="35" t="b">
        <v>0</v>
      </c>
      <c r="BX70" s="35" t="b">
        <v>0</v>
      </c>
      <c r="BY70" s="35" t="b">
        <v>0</v>
      </c>
      <c r="BZ70" s="35" t="b">
        <v>0</v>
      </c>
      <c r="CA70" s="35" t="b">
        <v>0</v>
      </c>
      <c r="CB70" s="35" t="b">
        <v>0</v>
      </c>
      <c r="CC70" s="35" t="b">
        <v>0</v>
      </c>
      <c r="CD70" s="35" t="b">
        <v>0</v>
      </c>
    </row>
    <row r="71" spans="1:82" x14ac:dyDescent="0.3">
      <c r="A71" s="35" t="s">
        <v>125</v>
      </c>
      <c r="B71" s="35" t="s">
        <v>125</v>
      </c>
      <c r="C71" s="35">
        <f t="shared" si="2"/>
        <v>3</v>
      </c>
      <c r="D71" s="35" t="b">
        <v>1</v>
      </c>
      <c r="E71" s="35" t="b">
        <v>0</v>
      </c>
      <c r="F71" s="35" t="b">
        <v>0</v>
      </c>
      <c r="G71" s="35" t="b">
        <v>0</v>
      </c>
      <c r="H71" s="35" t="b">
        <v>0</v>
      </c>
      <c r="I71" s="35" t="b">
        <v>0</v>
      </c>
      <c r="J71" s="35" t="b">
        <v>0</v>
      </c>
      <c r="K71" s="35" t="b">
        <v>0</v>
      </c>
      <c r="L71" s="35" t="b">
        <v>0</v>
      </c>
      <c r="M71" s="35" t="b">
        <v>0</v>
      </c>
      <c r="N71" s="35" t="b">
        <v>0</v>
      </c>
      <c r="O71" s="35" t="b">
        <v>0</v>
      </c>
      <c r="P71" s="35" t="b">
        <v>0</v>
      </c>
      <c r="Q71" s="35" t="b">
        <v>0</v>
      </c>
      <c r="R71" s="35" t="b">
        <v>0</v>
      </c>
      <c r="S71" s="35" t="b">
        <v>0</v>
      </c>
      <c r="T71" s="35" t="b">
        <v>0</v>
      </c>
      <c r="U71" s="35" t="b">
        <v>0</v>
      </c>
      <c r="V71" s="35" t="b">
        <v>1</v>
      </c>
      <c r="W71" s="35" t="b">
        <v>0</v>
      </c>
      <c r="X71" s="35" t="b">
        <v>0</v>
      </c>
      <c r="Y71" s="35" t="b">
        <v>0</v>
      </c>
      <c r="Z71" s="35" t="b">
        <v>0</v>
      </c>
      <c r="AA71" s="35" t="b">
        <v>0</v>
      </c>
      <c r="AB71" s="35" t="b">
        <v>0</v>
      </c>
      <c r="AC71" s="35" t="b">
        <v>0</v>
      </c>
      <c r="AD71" s="35" t="b">
        <v>0</v>
      </c>
      <c r="AE71" s="35" t="b">
        <v>0</v>
      </c>
      <c r="AF71" s="35" t="b">
        <v>0</v>
      </c>
      <c r="AG71" s="35" t="b">
        <v>0</v>
      </c>
      <c r="AH71" s="35" t="b">
        <v>0</v>
      </c>
      <c r="AI71" s="35" t="b">
        <v>0</v>
      </c>
      <c r="AJ71" s="35" t="b">
        <v>0</v>
      </c>
      <c r="AK71" s="35" t="b">
        <v>1</v>
      </c>
      <c r="AL71" s="35" t="b">
        <v>0</v>
      </c>
      <c r="AM71" s="35" t="b">
        <v>0</v>
      </c>
      <c r="AN71" s="35" t="b">
        <v>0</v>
      </c>
      <c r="AO71" s="35" t="b">
        <v>0</v>
      </c>
      <c r="AP71" s="35" t="b">
        <v>0</v>
      </c>
      <c r="AQ71" s="35" t="b">
        <v>0</v>
      </c>
      <c r="AR71" s="35" t="b">
        <v>0</v>
      </c>
      <c r="AS71" s="35" t="b">
        <v>0</v>
      </c>
      <c r="AT71" s="35" t="b">
        <v>0</v>
      </c>
      <c r="AU71" s="35" t="b">
        <v>0</v>
      </c>
      <c r="AV71" s="35" t="b">
        <v>0</v>
      </c>
      <c r="AW71" s="35" t="b">
        <v>0</v>
      </c>
      <c r="AX71" s="35" t="b">
        <v>0</v>
      </c>
      <c r="AY71" s="35" t="b">
        <v>0</v>
      </c>
      <c r="AZ71" s="35" t="b">
        <v>0</v>
      </c>
      <c r="BA71" s="35" t="b">
        <v>0</v>
      </c>
      <c r="BB71" s="35" t="b">
        <v>0</v>
      </c>
      <c r="BC71" s="35" t="b">
        <v>0</v>
      </c>
      <c r="BD71" s="35" t="b">
        <v>0</v>
      </c>
      <c r="BE71" s="35" t="b">
        <v>0</v>
      </c>
      <c r="BF71" s="35" t="b">
        <v>0</v>
      </c>
      <c r="BG71" s="35" t="b">
        <v>0</v>
      </c>
      <c r="BH71" s="35" t="b">
        <v>0</v>
      </c>
      <c r="BI71" s="35" t="b">
        <v>0</v>
      </c>
      <c r="BJ71" s="35" t="b">
        <v>0</v>
      </c>
      <c r="BK71" s="35" t="b">
        <v>0</v>
      </c>
      <c r="BL71" s="35" t="b">
        <v>0</v>
      </c>
      <c r="BM71" s="35" t="b">
        <v>0</v>
      </c>
      <c r="BN71" s="35" t="b">
        <v>0</v>
      </c>
      <c r="BO71" s="35" t="b">
        <v>0</v>
      </c>
      <c r="BP71" s="35" t="b">
        <v>0</v>
      </c>
      <c r="BQ71" s="35" t="b">
        <v>0</v>
      </c>
      <c r="BR71" s="35" t="b">
        <v>0</v>
      </c>
      <c r="BS71" s="35"/>
      <c r="BT71" s="35" t="b">
        <v>0</v>
      </c>
      <c r="BU71" s="35" t="b">
        <v>0</v>
      </c>
      <c r="BV71" s="35" t="b">
        <v>0</v>
      </c>
      <c r="BW71" s="35" t="b">
        <v>0</v>
      </c>
      <c r="BX71" s="35" t="b">
        <v>0</v>
      </c>
      <c r="BY71" s="35" t="b">
        <v>0</v>
      </c>
      <c r="BZ71" s="35" t="b">
        <v>1</v>
      </c>
      <c r="CA71" s="35" t="b">
        <v>0</v>
      </c>
      <c r="CB71" s="35" t="b">
        <v>0</v>
      </c>
      <c r="CC71" s="35" t="b">
        <v>0</v>
      </c>
      <c r="CD71" s="35" t="b">
        <v>0</v>
      </c>
    </row>
    <row r="72" spans="1:82" x14ac:dyDescent="0.3">
      <c r="A72" s="35" t="s">
        <v>126</v>
      </c>
      <c r="B72" s="35" t="s">
        <v>126</v>
      </c>
      <c r="C72" s="35">
        <f t="shared" si="2"/>
        <v>5</v>
      </c>
      <c r="D72" s="35" t="b">
        <v>1</v>
      </c>
      <c r="E72" s="35" t="b">
        <v>0</v>
      </c>
      <c r="F72" s="35" t="b">
        <v>0</v>
      </c>
      <c r="G72" s="35" t="b">
        <v>0</v>
      </c>
      <c r="H72" s="35" t="b">
        <v>0</v>
      </c>
      <c r="I72" s="35" t="b">
        <v>0</v>
      </c>
      <c r="J72" s="35" t="b">
        <v>0</v>
      </c>
      <c r="K72" s="35" t="b">
        <v>1</v>
      </c>
      <c r="L72" s="35" t="b">
        <v>0</v>
      </c>
      <c r="M72" s="35" t="b">
        <v>0</v>
      </c>
      <c r="N72" s="35" t="b">
        <v>0</v>
      </c>
      <c r="O72" s="35" t="b">
        <v>0</v>
      </c>
      <c r="P72" s="35" t="b">
        <v>0</v>
      </c>
      <c r="Q72" s="35" t="b">
        <v>0</v>
      </c>
      <c r="R72" s="35" t="b">
        <v>0</v>
      </c>
      <c r="S72" s="35" t="b">
        <v>0</v>
      </c>
      <c r="T72" s="35" t="b">
        <v>0</v>
      </c>
      <c r="U72" s="35" t="b">
        <v>0</v>
      </c>
      <c r="V72" s="35" t="b">
        <v>0</v>
      </c>
      <c r="W72" s="35" t="b">
        <v>0</v>
      </c>
      <c r="X72" s="35" t="b">
        <v>0</v>
      </c>
      <c r="Y72" s="35" t="b">
        <v>0</v>
      </c>
      <c r="Z72" s="35" t="b">
        <v>0</v>
      </c>
      <c r="AA72" s="35" t="b">
        <v>0</v>
      </c>
      <c r="AB72" s="35" t="b">
        <v>0</v>
      </c>
      <c r="AC72" s="35" t="b">
        <v>0</v>
      </c>
      <c r="AD72" s="35" t="b">
        <v>0</v>
      </c>
      <c r="AE72" s="35" t="b">
        <v>0</v>
      </c>
      <c r="AF72" s="35" t="b">
        <v>0</v>
      </c>
      <c r="AG72" s="35" t="b">
        <v>0</v>
      </c>
      <c r="AH72" s="35" t="b">
        <v>0</v>
      </c>
      <c r="AI72" s="35" t="b">
        <v>0</v>
      </c>
      <c r="AJ72" s="35" t="b">
        <v>0</v>
      </c>
      <c r="AK72" s="35" t="b">
        <v>1</v>
      </c>
      <c r="AL72" s="35" t="b">
        <v>0</v>
      </c>
      <c r="AM72" s="35" t="b">
        <v>0</v>
      </c>
      <c r="AN72" s="35" t="b">
        <v>0</v>
      </c>
      <c r="AO72" s="35" t="b">
        <v>0</v>
      </c>
      <c r="AP72" s="35" t="b">
        <v>0</v>
      </c>
      <c r="AQ72" s="35" t="b">
        <v>0</v>
      </c>
      <c r="AR72" s="35" t="b">
        <v>1</v>
      </c>
      <c r="AS72" s="35" t="b">
        <v>0</v>
      </c>
      <c r="AT72" s="35" t="b">
        <v>0</v>
      </c>
      <c r="AU72" s="35" t="b">
        <v>0</v>
      </c>
      <c r="AV72" s="35" t="b">
        <v>0</v>
      </c>
      <c r="AW72" s="35" t="b">
        <v>0</v>
      </c>
      <c r="AX72" s="35" t="b">
        <v>0</v>
      </c>
      <c r="AY72" s="35" t="b">
        <v>1</v>
      </c>
      <c r="AZ72" s="35" t="b">
        <v>0</v>
      </c>
      <c r="BA72" s="35" t="b">
        <v>0</v>
      </c>
      <c r="BB72" s="35" t="b">
        <v>0</v>
      </c>
      <c r="BC72" s="35" t="b">
        <v>0</v>
      </c>
      <c r="BD72" s="35" t="b">
        <v>0</v>
      </c>
      <c r="BE72" s="35" t="b">
        <v>0</v>
      </c>
      <c r="BF72" s="35" t="b">
        <v>0</v>
      </c>
      <c r="BG72" s="35" t="b">
        <v>0</v>
      </c>
      <c r="BH72" s="35" t="b">
        <v>0</v>
      </c>
      <c r="BI72" s="35" t="b">
        <v>0</v>
      </c>
      <c r="BJ72" s="35" t="b">
        <v>0</v>
      </c>
      <c r="BK72" s="35" t="b">
        <v>0</v>
      </c>
      <c r="BL72" s="35" t="b">
        <v>0</v>
      </c>
      <c r="BM72" s="35" t="b">
        <v>0</v>
      </c>
      <c r="BN72" s="35" t="b">
        <v>0</v>
      </c>
      <c r="BO72" s="35" t="b">
        <v>0</v>
      </c>
      <c r="BP72" s="35" t="b">
        <v>0</v>
      </c>
      <c r="BQ72" s="35" t="b">
        <v>0</v>
      </c>
      <c r="BR72" s="35" t="b">
        <v>0</v>
      </c>
      <c r="BS72" s="35" t="b">
        <v>0</v>
      </c>
      <c r="BT72" s="35"/>
      <c r="BU72" s="35" t="b">
        <v>0</v>
      </c>
      <c r="BV72" s="35" t="b">
        <v>1</v>
      </c>
      <c r="BW72" s="35" t="b">
        <v>0</v>
      </c>
      <c r="BX72" s="35" t="b">
        <v>0</v>
      </c>
      <c r="BY72" s="35" t="b">
        <v>0</v>
      </c>
      <c r="BZ72" s="35" t="b">
        <v>0</v>
      </c>
      <c r="CA72" s="35" t="b">
        <v>0</v>
      </c>
      <c r="CB72" s="35" t="b">
        <v>0</v>
      </c>
      <c r="CC72" s="35" t="b">
        <v>0</v>
      </c>
      <c r="CD72" s="35" t="b">
        <v>0</v>
      </c>
    </row>
    <row r="73" spans="1:82" x14ac:dyDescent="0.3">
      <c r="A73" s="35" t="s">
        <v>186</v>
      </c>
      <c r="B73" s="35" t="s">
        <v>186</v>
      </c>
      <c r="C73" s="35">
        <f t="shared" si="2"/>
        <v>0</v>
      </c>
      <c r="D73" s="35" t="b">
        <v>0</v>
      </c>
      <c r="E73" s="35" t="b">
        <v>0</v>
      </c>
      <c r="F73" s="35" t="b">
        <v>0</v>
      </c>
      <c r="G73" s="35" t="b">
        <v>0</v>
      </c>
      <c r="H73" s="35" t="b">
        <v>0</v>
      </c>
      <c r="I73" s="35" t="b">
        <v>0</v>
      </c>
      <c r="J73" s="35" t="b">
        <v>0</v>
      </c>
      <c r="K73" s="35" t="b">
        <v>0</v>
      </c>
      <c r="L73" s="35" t="b">
        <v>0</v>
      </c>
      <c r="M73" s="35" t="b">
        <v>0</v>
      </c>
      <c r="N73" s="35" t="b">
        <v>0</v>
      </c>
      <c r="O73" s="35" t="b">
        <v>0</v>
      </c>
      <c r="P73" s="35" t="b">
        <v>0</v>
      </c>
      <c r="Q73" s="35" t="b">
        <v>0</v>
      </c>
      <c r="R73" s="35" t="b">
        <v>0</v>
      </c>
      <c r="S73" s="35" t="b">
        <v>0</v>
      </c>
      <c r="T73" s="35" t="b">
        <v>0</v>
      </c>
      <c r="U73" s="35" t="b">
        <v>0</v>
      </c>
      <c r="V73" s="35" t="b">
        <v>0</v>
      </c>
      <c r="W73" s="35" t="b">
        <v>0</v>
      </c>
      <c r="X73" s="35" t="b">
        <v>0</v>
      </c>
      <c r="Y73" s="35" t="b">
        <v>0</v>
      </c>
      <c r="Z73" s="35" t="b">
        <v>0</v>
      </c>
      <c r="AA73" s="35" t="b">
        <v>0</v>
      </c>
      <c r="AB73" s="35" t="b">
        <v>0</v>
      </c>
      <c r="AC73" s="35" t="b">
        <v>0</v>
      </c>
      <c r="AD73" s="35" t="b">
        <v>0</v>
      </c>
      <c r="AE73" s="35" t="b">
        <v>0</v>
      </c>
      <c r="AF73" s="35" t="b">
        <v>0</v>
      </c>
      <c r="AG73" s="35" t="b">
        <v>0</v>
      </c>
      <c r="AH73" s="35" t="b">
        <v>0</v>
      </c>
      <c r="AI73" s="35" t="b">
        <v>0</v>
      </c>
      <c r="AJ73" s="35" t="b">
        <v>0</v>
      </c>
      <c r="AK73" s="35" t="b">
        <v>0</v>
      </c>
      <c r="AL73" s="35" t="b">
        <v>0</v>
      </c>
      <c r="AM73" s="35" t="b">
        <v>0</v>
      </c>
      <c r="AN73" s="35" t="b">
        <v>0</v>
      </c>
      <c r="AO73" s="35" t="b">
        <v>0</v>
      </c>
      <c r="AP73" s="35" t="b">
        <v>0</v>
      </c>
      <c r="AQ73" s="35" t="b">
        <v>0</v>
      </c>
      <c r="AR73" s="35" t="b">
        <v>0</v>
      </c>
      <c r="AS73" s="35" t="b">
        <v>0</v>
      </c>
      <c r="AT73" s="35" t="b">
        <v>0</v>
      </c>
      <c r="AU73" s="35" t="b">
        <v>0</v>
      </c>
      <c r="AV73" s="35" t="b">
        <v>0</v>
      </c>
      <c r="AW73" s="35" t="b">
        <v>0</v>
      </c>
      <c r="AX73" s="35" t="b">
        <v>0</v>
      </c>
      <c r="AY73" s="35" t="b">
        <v>0</v>
      </c>
      <c r="AZ73" s="35" t="b">
        <v>0</v>
      </c>
      <c r="BA73" s="35" t="b">
        <v>0</v>
      </c>
      <c r="BB73" s="35" t="b">
        <v>0</v>
      </c>
      <c r="BC73" s="35" t="b">
        <v>0</v>
      </c>
      <c r="BD73" s="35" t="b">
        <v>0</v>
      </c>
      <c r="BE73" s="35" t="b">
        <v>0</v>
      </c>
      <c r="BF73" s="35" t="b">
        <v>1</v>
      </c>
      <c r="BG73" s="35" t="b">
        <v>0</v>
      </c>
      <c r="BH73" s="35" t="b">
        <v>0</v>
      </c>
      <c r="BI73" s="35" t="b">
        <v>0</v>
      </c>
      <c r="BJ73" s="35" t="b">
        <v>0</v>
      </c>
      <c r="BK73" s="35" t="b">
        <v>0</v>
      </c>
      <c r="BL73" s="35" t="b">
        <v>0</v>
      </c>
      <c r="BM73" s="35" t="b">
        <v>0</v>
      </c>
      <c r="BN73" s="35" t="b">
        <v>0</v>
      </c>
      <c r="BO73" s="35" t="b">
        <v>0</v>
      </c>
      <c r="BP73" s="35" t="b">
        <v>0</v>
      </c>
      <c r="BQ73" s="35" t="b">
        <v>0</v>
      </c>
      <c r="BR73" s="35" t="b">
        <v>0</v>
      </c>
      <c r="BS73" s="35" t="b">
        <v>0</v>
      </c>
      <c r="BT73" s="35" t="b">
        <v>0</v>
      </c>
      <c r="BU73" s="35"/>
      <c r="BV73" s="35" t="b">
        <v>0</v>
      </c>
      <c r="BW73" s="35" t="b">
        <v>0</v>
      </c>
      <c r="BX73" s="35" t="b">
        <v>0</v>
      </c>
      <c r="BY73" s="35" t="b">
        <v>0</v>
      </c>
      <c r="BZ73" s="35" t="b">
        <v>0</v>
      </c>
      <c r="CA73" s="35" t="b">
        <v>0</v>
      </c>
      <c r="CB73" s="35" t="b">
        <v>0</v>
      </c>
      <c r="CC73" s="35" t="b">
        <v>0</v>
      </c>
      <c r="CD73" s="35" t="b">
        <v>0</v>
      </c>
    </row>
    <row r="74" spans="1:82" x14ac:dyDescent="0.3">
      <c r="A74" s="35" t="s">
        <v>162</v>
      </c>
      <c r="B74" s="35" t="s">
        <v>162</v>
      </c>
      <c r="C74" s="35">
        <f t="shared" si="2"/>
        <v>6</v>
      </c>
      <c r="D74" s="35" t="b">
        <v>1</v>
      </c>
      <c r="E74" s="35" t="b">
        <v>0</v>
      </c>
      <c r="F74" s="35" t="b">
        <v>0</v>
      </c>
      <c r="G74" s="35" t="b">
        <v>0</v>
      </c>
      <c r="H74" s="35" t="b">
        <v>0</v>
      </c>
      <c r="I74" s="35" t="b">
        <v>1</v>
      </c>
      <c r="J74" s="35" t="b">
        <v>0</v>
      </c>
      <c r="K74" s="35" t="b">
        <v>0</v>
      </c>
      <c r="L74" s="35" t="b">
        <v>0</v>
      </c>
      <c r="M74" s="35" t="b">
        <v>0</v>
      </c>
      <c r="N74" s="35" t="b">
        <v>0</v>
      </c>
      <c r="O74" s="35" t="b">
        <v>0</v>
      </c>
      <c r="P74" s="35" t="b">
        <v>0</v>
      </c>
      <c r="Q74" s="35" t="b">
        <v>0</v>
      </c>
      <c r="R74" s="35" t="b">
        <v>0</v>
      </c>
      <c r="S74" s="35" t="b">
        <v>0</v>
      </c>
      <c r="T74" s="35" t="b">
        <v>0</v>
      </c>
      <c r="U74" s="35" t="b">
        <v>0</v>
      </c>
      <c r="V74" s="35" t="b">
        <v>1</v>
      </c>
      <c r="W74" s="35" t="b">
        <v>0</v>
      </c>
      <c r="X74" s="35" t="b">
        <v>0</v>
      </c>
      <c r="Y74" s="35" t="b">
        <v>0</v>
      </c>
      <c r="Z74" s="35" t="b">
        <v>0</v>
      </c>
      <c r="AA74" s="35" t="b">
        <v>0</v>
      </c>
      <c r="AB74" s="35" t="b">
        <v>0</v>
      </c>
      <c r="AC74" s="35" t="b">
        <v>0</v>
      </c>
      <c r="AD74" s="35" t="b">
        <v>0</v>
      </c>
      <c r="AE74" s="35" t="b">
        <v>0</v>
      </c>
      <c r="AF74" s="35" t="b">
        <v>0</v>
      </c>
      <c r="AG74" s="35" t="b">
        <v>0</v>
      </c>
      <c r="AH74" s="35" t="b">
        <v>0</v>
      </c>
      <c r="AI74" s="35" t="b">
        <v>0</v>
      </c>
      <c r="AJ74" s="35" t="b">
        <v>0</v>
      </c>
      <c r="AK74" s="35" t="b">
        <v>0</v>
      </c>
      <c r="AL74" s="35" t="b">
        <v>0</v>
      </c>
      <c r="AM74" s="35" t="b">
        <v>0</v>
      </c>
      <c r="AN74" s="35" t="b">
        <v>1</v>
      </c>
      <c r="AO74" s="35" t="b">
        <v>0</v>
      </c>
      <c r="AP74" s="35" t="b">
        <v>0</v>
      </c>
      <c r="AQ74" s="35" t="b">
        <v>0</v>
      </c>
      <c r="AR74" s="35" t="b">
        <v>1</v>
      </c>
      <c r="AS74" s="35" t="b">
        <v>0</v>
      </c>
      <c r="AT74" s="35" t="b">
        <v>0</v>
      </c>
      <c r="AU74" s="35" t="b">
        <v>0</v>
      </c>
      <c r="AV74" s="35" t="b">
        <v>0</v>
      </c>
      <c r="AW74" s="35" t="b">
        <v>0</v>
      </c>
      <c r="AX74" s="35" t="b">
        <v>0</v>
      </c>
      <c r="AY74" s="35" t="b">
        <v>0</v>
      </c>
      <c r="AZ74" s="35" t="b">
        <v>0</v>
      </c>
      <c r="BA74" s="35" t="b">
        <v>0</v>
      </c>
      <c r="BB74" s="35" t="b">
        <v>0</v>
      </c>
      <c r="BC74" s="35" t="b">
        <v>0</v>
      </c>
      <c r="BD74" s="35" t="b">
        <v>0</v>
      </c>
      <c r="BE74" s="35" t="b">
        <v>0</v>
      </c>
      <c r="BF74" s="35" t="b">
        <v>0</v>
      </c>
      <c r="BG74" s="35" t="b">
        <v>0</v>
      </c>
      <c r="BH74" s="35" t="b">
        <v>0</v>
      </c>
      <c r="BI74" s="35" t="b">
        <v>0</v>
      </c>
      <c r="BJ74" s="35" t="b">
        <v>0</v>
      </c>
      <c r="BK74" s="35" t="b">
        <v>0</v>
      </c>
      <c r="BL74" s="35" t="b">
        <v>0</v>
      </c>
      <c r="BM74" s="35" t="b">
        <v>1</v>
      </c>
      <c r="BN74" s="35" t="b">
        <v>0</v>
      </c>
      <c r="BO74" s="35" t="b">
        <v>0</v>
      </c>
      <c r="BP74" s="35" t="b">
        <v>0</v>
      </c>
      <c r="BQ74" s="35" t="b">
        <v>0</v>
      </c>
      <c r="BR74" s="35" t="b">
        <v>0</v>
      </c>
      <c r="BS74" s="35" t="b">
        <v>0</v>
      </c>
      <c r="BT74" s="35" t="b">
        <v>1</v>
      </c>
      <c r="BU74" s="35" t="b">
        <v>0</v>
      </c>
      <c r="BV74" s="35"/>
      <c r="BW74" s="35" t="b">
        <v>0</v>
      </c>
      <c r="BX74" s="35" t="b">
        <v>0</v>
      </c>
      <c r="BY74" s="35" t="b">
        <v>0</v>
      </c>
      <c r="BZ74" s="35" t="b">
        <v>0</v>
      </c>
      <c r="CA74" s="35" t="b">
        <v>0</v>
      </c>
      <c r="CB74" s="35" t="b">
        <v>0</v>
      </c>
      <c r="CC74" s="35" t="b">
        <v>0</v>
      </c>
      <c r="CD74" s="35" t="b">
        <v>0</v>
      </c>
    </row>
    <row r="75" spans="1:82" x14ac:dyDescent="0.3">
      <c r="A75" s="35" t="s">
        <v>187</v>
      </c>
      <c r="B75" s="35" t="s">
        <v>187</v>
      </c>
      <c r="C75" s="35">
        <f t="shared" si="2"/>
        <v>4</v>
      </c>
      <c r="D75" s="35" t="b">
        <v>0</v>
      </c>
      <c r="E75" s="35" t="b">
        <v>0</v>
      </c>
      <c r="F75" s="35" t="b">
        <v>0</v>
      </c>
      <c r="G75" s="35" t="b">
        <v>0</v>
      </c>
      <c r="H75" s="35" t="b">
        <v>0</v>
      </c>
      <c r="I75" s="35" t="b">
        <v>0</v>
      </c>
      <c r="J75" s="35" t="b">
        <v>0</v>
      </c>
      <c r="K75" s="35" t="b">
        <v>0</v>
      </c>
      <c r="L75" s="35" t="b">
        <v>0</v>
      </c>
      <c r="M75" s="35" t="b">
        <v>0</v>
      </c>
      <c r="N75" s="35" t="b">
        <v>0</v>
      </c>
      <c r="O75" s="35" t="b">
        <v>0</v>
      </c>
      <c r="P75" s="35" t="b">
        <v>0</v>
      </c>
      <c r="Q75" s="35" t="b">
        <v>0</v>
      </c>
      <c r="R75" s="35" t="b">
        <v>0</v>
      </c>
      <c r="S75" s="35" t="b">
        <v>0</v>
      </c>
      <c r="T75" s="35" t="b">
        <v>0</v>
      </c>
      <c r="U75" s="35" t="b">
        <v>0</v>
      </c>
      <c r="V75" s="35" t="b">
        <v>0</v>
      </c>
      <c r="W75" s="35" t="b">
        <v>0</v>
      </c>
      <c r="X75" s="35" t="b">
        <v>0</v>
      </c>
      <c r="Y75" s="35" t="b">
        <v>0</v>
      </c>
      <c r="Z75" s="35" t="b">
        <v>1</v>
      </c>
      <c r="AA75" s="35" t="b">
        <v>0</v>
      </c>
      <c r="AB75" s="35" t="b">
        <v>0</v>
      </c>
      <c r="AC75" s="35" t="b">
        <v>0</v>
      </c>
      <c r="AD75" s="35" t="b">
        <v>0</v>
      </c>
      <c r="AE75" s="35" t="b">
        <v>0</v>
      </c>
      <c r="AF75" s="35" t="b">
        <v>0</v>
      </c>
      <c r="AG75" s="35" t="b">
        <v>1</v>
      </c>
      <c r="AH75" s="35" t="b">
        <v>0</v>
      </c>
      <c r="AI75" s="35" t="b">
        <v>1</v>
      </c>
      <c r="AJ75" s="35" t="b">
        <v>0</v>
      </c>
      <c r="AK75" s="35" t="b">
        <v>0</v>
      </c>
      <c r="AL75" s="35" t="b">
        <v>0</v>
      </c>
      <c r="AM75" s="35" t="b">
        <v>0</v>
      </c>
      <c r="AN75" s="35" t="b">
        <v>0</v>
      </c>
      <c r="AO75" s="35" t="b">
        <v>0</v>
      </c>
      <c r="AP75" s="35" t="b">
        <v>0</v>
      </c>
      <c r="AQ75" s="35" t="b">
        <v>0</v>
      </c>
      <c r="AR75" s="35" t="b">
        <v>0</v>
      </c>
      <c r="AS75" s="35" t="b">
        <v>0</v>
      </c>
      <c r="AT75" s="35" t="b">
        <v>0</v>
      </c>
      <c r="AU75" s="35" t="b">
        <v>0</v>
      </c>
      <c r="AV75" s="35" t="b">
        <v>0</v>
      </c>
      <c r="AW75" s="35" t="b">
        <v>1</v>
      </c>
      <c r="AX75" s="35" t="b">
        <v>0</v>
      </c>
      <c r="AY75" s="35" t="b">
        <v>0</v>
      </c>
      <c r="AZ75" s="35" t="b">
        <v>0</v>
      </c>
      <c r="BA75" s="35" t="b">
        <v>0</v>
      </c>
      <c r="BB75" s="35" t="b">
        <v>0</v>
      </c>
      <c r="BC75" s="35" t="b">
        <v>0</v>
      </c>
      <c r="BD75" s="35" t="b">
        <v>0</v>
      </c>
      <c r="BE75" s="35" t="b">
        <v>0</v>
      </c>
      <c r="BF75" s="35" t="b">
        <v>0</v>
      </c>
      <c r="BG75" s="35" t="b">
        <v>0</v>
      </c>
      <c r="BH75" s="35" t="b">
        <v>0</v>
      </c>
      <c r="BI75" s="35" t="b">
        <v>0</v>
      </c>
      <c r="BJ75" s="35" t="b">
        <v>0</v>
      </c>
      <c r="BK75" s="35" t="b">
        <v>0</v>
      </c>
      <c r="BL75" s="35" t="b">
        <v>0</v>
      </c>
      <c r="BM75" s="35" t="b">
        <v>0</v>
      </c>
      <c r="BN75" s="35" t="b">
        <v>1</v>
      </c>
      <c r="BO75" s="35" t="b">
        <v>0</v>
      </c>
      <c r="BP75" s="35" t="b">
        <v>0</v>
      </c>
      <c r="BQ75" s="35" t="b">
        <v>0</v>
      </c>
      <c r="BR75" s="35" t="b">
        <v>0</v>
      </c>
      <c r="BS75" s="35" t="b">
        <v>0</v>
      </c>
      <c r="BT75" s="35" t="b">
        <v>0</v>
      </c>
      <c r="BU75" s="35" t="b">
        <v>0</v>
      </c>
      <c r="BV75" s="35" t="b">
        <v>0</v>
      </c>
      <c r="BW75" s="35"/>
      <c r="BX75" s="35" t="b">
        <v>0</v>
      </c>
      <c r="BY75" s="35" t="b">
        <v>0</v>
      </c>
      <c r="BZ75" s="35" t="b">
        <v>0</v>
      </c>
      <c r="CA75" s="35" t="b">
        <v>0</v>
      </c>
      <c r="CB75" s="35" t="b">
        <v>0</v>
      </c>
      <c r="CC75" s="35" t="b">
        <v>0</v>
      </c>
      <c r="CD75" s="35" t="b">
        <v>0</v>
      </c>
    </row>
    <row r="76" spans="1:82" x14ac:dyDescent="0.3">
      <c r="A76" s="35" t="s">
        <v>127</v>
      </c>
      <c r="B76" s="35" t="s">
        <v>127</v>
      </c>
      <c r="C76" s="35">
        <f t="shared" si="2"/>
        <v>4</v>
      </c>
      <c r="D76" s="35" t="b">
        <v>0</v>
      </c>
      <c r="E76" s="35" t="b">
        <v>0</v>
      </c>
      <c r="F76" s="35" t="b">
        <v>0</v>
      </c>
      <c r="G76" s="35" t="b">
        <v>0</v>
      </c>
      <c r="H76" s="35" t="b">
        <v>0</v>
      </c>
      <c r="I76" s="35" t="b">
        <v>0</v>
      </c>
      <c r="J76" s="35" t="b">
        <v>0</v>
      </c>
      <c r="K76" s="35" t="b">
        <v>0</v>
      </c>
      <c r="L76" s="35" t="b">
        <v>1</v>
      </c>
      <c r="M76" s="35" t="b">
        <v>0</v>
      </c>
      <c r="N76" s="35" t="b">
        <v>0</v>
      </c>
      <c r="O76" s="35" t="b">
        <v>0</v>
      </c>
      <c r="P76" s="35" t="b">
        <v>0</v>
      </c>
      <c r="Q76" s="35" t="b">
        <v>0</v>
      </c>
      <c r="R76" s="35" t="b">
        <v>0</v>
      </c>
      <c r="S76" s="35" t="b">
        <v>0</v>
      </c>
      <c r="T76" s="35" t="b">
        <v>0</v>
      </c>
      <c r="U76" s="35" t="b">
        <v>0</v>
      </c>
      <c r="V76" s="35" t="b">
        <v>0</v>
      </c>
      <c r="W76" s="35" t="b">
        <v>0</v>
      </c>
      <c r="X76" s="35" t="b">
        <v>0</v>
      </c>
      <c r="Y76" s="35" t="b">
        <v>0</v>
      </c>
      <c r="Z76" s="35" t="b">
        <v>0</v>
      </c>
      <c r="AA76" s="35" t="b">
        <v>0</v>
      </c>
      <c r="AB76" s="35" t="b">
        <v>0</v>
      </c>
      <c r="AC76" s="35" t="b">
        <v>0</v>
      </c>
      <c r="AD76" s="35" t="b">
        <v>0</v>
      </c>
      <c r="AE76" s="35" t="b">
        <v>0</v>
      </c>
      <c r="AF76" s="35" t="b">
        <v>0</v>
      </c>
      <c r="AG76" s="35" t="b">
        <v>0</v>
      </c>
      <c r="AH76" s="35" t="b">
        <v>0</v>
      </c>
      <c r="AI76" s="35" t="b">
        <v>0</v>
      </c>
      <c r="AJ76" s="35" t="b">
        <v>0</v>
      </c>
      <c r="AK76" s="35" t="b">
        <v>0</v>
      </c>
      <c r="AL76" s="35" t="b">
        <v>0</v>
      </c>
      <c r="AM76" s="35" t="b">
        <v>1</v>
      </c>
      <c r="AN76" s="35" t="b">
        <v>0</v>
      </c>
      <c r="AO76" s="35" t="b">
        <v>0</v>
      </c>
      <c r="AP76" s="35" t="b">
        <v>0</v>
      </c>
      <c r="AQ76" s="35" t="b">
        <v>1</v>
      </c>
      <c r="AR76" s="35" t="b">
        <v>0</v>
      </c>
      <c r="AS76" s="35" t="b">
        <v>0</v>
      </c>
      <c r="AT76" s="35" t="b">
        <v>1</v>
      </c>
      <c r="AU76" s="35" t="b">
        <v>0</v>
      </c>
      <c r="AV76" s="35" t="b">
        <v>0</v>
      </c>
      <c r="AW76" s="35" t="b">
        <v>0</v>
      </c>
      <c r="AX76" s="35" t="b">
        <v>0</v>
      </c>
      <c r="AY76" s="35" t="b">
        <v>0</v>
      </c>
      <c r="AZ76" s="35" t="b">
        <v>1</v>
      </c>
      <c r="BA76" s="35" t="b">
        <v>0</v>
      </c>
      <c r="BB76" s="35" t="b">
        <v>0</v>
      </c>
      <c r="BC76" s="35" t="b">
        <v>0</v>
      </c>
      <c r="BD76" s="35" t="b">
        <v>0</v>
      </c>
      <c r="BE76" s="35" t="b">
        <v>0</v>
      </c>
      <c r="BF76" s="35" t="b">
        <v>0</v>
      </c>
      <c r="BG76" s="35" t="b">
        <v>0</v>
      </c>
      <c r="BH76" s="35" t="b">
        <v>0</v>
      </c>
      <c r="BI76" s="35" t="b">
        <v>0</v>
      </c>
      <c r="BJ76" s="35" t="b">
        <v>0</v>
      </c>
      <c r="BK76" s="35" t="b">
        <v>0</v>
      </c>
      <c r="BL76" s="35" t="b">
        <v>0</v>
      </c>
      <c r="BM76" s="35" t="b">
        <v>0</v>
      </c>
      <c r="BN76" s="35" t="b">
        <v>0</v>
      </c>
      <c r="BO76" s="35" t="b">
        <v>0</v>
      </c>
      <c r="BP76" s="35" t="b">
        <v>0</v>
      </c>
      <c r="BQ76" s="35" t="b">
        <v>0</v>
      </c>
      <c r="BR76" s="35" t="b">
        <v>0</v>
      </c>
      <c r="BS76" s="35" t="b">
        <v>0</v>
      </c>
      <c r="BT76" s="35" t="b">
        <v>0</v>
      </c>
      <c r="BU76" s="35" t="b">
        <v>0</v>
      </c>
      <c r="BV76" s="35" t="b">
        <v>0</v>
      </c>
      <c r="BW76" s="35" t="b">
        <v>0</v>
      </c>
      <c r="BX76" s="35"/>
      <c r="BY76" s="35" t="b">
        <v>0</v>
      </c>
      <c r="BZ76" s="35" t="b">
        <v>0</v>
      </c>
      <c r="CA76" s="35" t="b">
        <v>0</v>
      </c>
      <c r="CB76" s="35" t="b">
        <v>0</v>
      </c>
      <c r="CC76" s="35" t="b">
        <v>0</v>
      </c>
      <c r="CD76" s="35" t="b">
        <v>0</v>
      </c>
    </row>
    <row r="77" spans="1:82" x14ac:dyDescent="0.3">
      <c r="A77" s="35" t="s">
        <v>145</v>
      </c>
      <c r="B77" s="35" t="s">
        <v>145</v>
      </c>
      <c r="C77" s="35">
        <f t="shared" si="2"/>
        <v>6</v>
      </c>
      <c r="D77" s="35" t="b">
        <v>0</v>
      </c>
      <c r="E77" s="35" t="b">
        <v>0</v>
      </c>
      <c r="F77" s="35" t="b">
        <v>0</v>
      </c>
      <c r="G77" s="35" t="b">
        <v>1</v>
      </c>
      <c r="H77" s="35" t="b">
        <v>0</v>
      </c>
      <c r="I77" s="35" t="b">
        <v>0</v>
      </c>
      <c r="J77" s="35" t="b">
        <v>0</v>
      </c>
      <c r="K77" s="35" t="b">
        <v>0</v>
      </c>
      <c r="L77" s="35" t="b">
        <v>0</v>
      </c>
      <c r="M77" s="35" t="b">
        <v>0</v>
      </c>
      <c r="N77" s="35" t="b">
        <v>0</v>
      </c>
      <c r="O77" s="35" t="b">
        <v>0</v>
      </c>
      <c r="P77" s="35" t="b">
        <v>0</v>
      </c>
      <c r="Q77" s="35" t="b">
        <v>0</v>
      </c>
      <c r="R77" s="35" t="b">
        <v>0</v>
      </c>
      <c r="S77" s="35" t="b">
        <v>0</v>
      </c>
      <c r="T77" s="35" t="b">
        <v>0</v>
      </c>
      <c r="U77" s="35" t="b">
        <v>1</v>
      </c>
      <c r="V77" s="35" t="b">
        <v>0</v>
      </c>
      <c r="W77" s="35" t="b">
        <v>0</v>
      </c>
      <c r="X77" s="35" t="b">
        <v>0</v>
      </c>
      <c r="Y77" s="35" t="b">
        <v>0</v>
      </c>
      <c r="Z77" s="35" t="b">
        <v>0</v>
      </c>
      <c r="AA77" s="35" t="b">
        <v>0</v>
      </c>
      <c r="AB77" s="35" t="b">
        <v>0</v>
      </c>
      <c r="AC77" s="35" t="b">
        <v>0</v>
      </c>
      <c r="AD77" s="35" t="b">
        <v>0</v>
      </c>
      <c r="AE77" s="35" t="b">
        <v>0</v>
      </c>
      <c r="AF77" s="35" t="b">
        <v>0</v>
      </c>
      <c r="AG77" s="35" t="b">
        <v>0</v>
      </c>
      <c r="AH77" s="35" t="b">
        <v>0</v>
      </c>
      <c r="AI77" s="35" t="b">
        <v>0</v>
      </c>
      <c r="AJ77" s="35" t="b">
        <v>1</v>
      </c>
      <c r="AK77" s="35" t="b">
        <v>0</v>
      </c>
      <c r="AL77" s="35" t="b">
        <v>0</v>
      </c>
      <c r="AM77" s="35" t="b">
        <v>0</v>
      </c>
      <c r="AN77" s="35" t="b">
        <v>0</v>
      </c>
      <c r="AO77" s="35" t="b">
        <v>0</v>
      </c>
      <c r="AP77" s="35" t="b">
        <v>0</v>
      </c>
      <c r="AQ77" s="35" t="b">
        <v>0</v>
      </c>
      <c r="AR77" s="35" t="b">
        <v>0</v>
      </c>
      <c r="AS77" s="35" t="b">
        <v>0</v>
      </c>
      <c r="AT77" s="35" t="b">
        <v>0</v>
      </c>
      <c r="AU77" s="35" t="b">
        <v>0</v>
      </c>
      <c r="AV77" s="35" t="b">
        <v>0</v>
      </c>
      <c r="AW77" s="35" t="b">
        <v>0</v>
      </c>
      <c r="AX77" s="35" t="b">
        <v>1</v>
      </c>
      <c r="AY77" s="35" t="b">
        <v>0</v>
      </c>
      <c r="AZ77" s="35" t="b">
        <v>0</v>
      </c>
      <c r="BA77" s="35" t="b">
        <v>0</v>
      </c>
      <c r="BB77" s="35" t="b">
        <v>0</v>
      </c>
      <c r="BC77" s="35" t="b">
        <v>1</v>
      </c>
      <c r="BD77" s="35" t="b">
        <v>0</v>
      </c>
      <c r="BE77" s="35" t="b">
        <v>0</v>
      </c>
      <c r="BF77" s="35" t="b">
        <v>0</v>
      </c>
      <c r="BG77" s="35" t="b">
        <v>1</v>
      </c>
      <c r="BH77" s="35" t="b">
        <v>1</v>
      </c>
      <c r="BI77" s="35" t="b">
        <v>0</v>
      </c>
      <c r="BJ77" s="35" t="b">
        <v>0</v>
      </c>
      <c r="BK77" s="35" t="b">
        <v>0</v>
      </c>
      <c r="BL77" s="35" t="b">
        <v>0</v>
      </c>
      <c r="BM77" s="35" t="b">
        <v>0</v>
      </c>
      <c r="BN77" s="35" t="b">
        <v>0</v>
      </c>
      <c r="BO77" s="35" t="b">
        <v>0</v>
      </c>
      <c r="BP77" s="35" t="b">
        <v>0</v>
      </c>
      <c r="BQ77" s="35" t="b">
        <v>0</v>
      </c>
      <c r="BR77" s="35" t="b">
        <v>0</v>
      </c>
      <c r="BS77" s="35" t="b">
        <v>0</v>
      </c>
      <c r="BT77" s="35" t="b">
        <v>0</v>
      </c>
      <c r="BU77" s="35" t="b">
        <v>0</v>
      </c>
      <c r="BV77" s="35" t="b">
        <v>0</v>
      </c>
      <c r="BW77" s="35" t="b">
        <v>0</v>
      </c>
      <c r="BX77" s="35" t="b">
        <v>0</v>
      </c>
      <c r="BY77" s="35"/>
      <c r="BZ77" s="35" t="b">
        <v>0</v>
      </c>
      <c r="CA77" s="35" t="b">
        <v>0</v>
      </c>
      <c r="CB77" s="35" t="b">
        <v>0</v>
      </c>
      <c r="CC77" s="35" t="b">
        <v>0</v>
      </c>
      <c r="CD77" s="35" t="b">
        <v>0</v>
      </c>
    </row>
    <row r="78" spans="1:82" x14ac:dyDescent="0.3">
      <c r="A78" s="35" t="s">
        <v>228</v>
      </c>
      <c r="B78" s="35" t="s">
        <v>128</v>
      </c>
      <c r="C78" s="35">
        <f t="shared" si="2"/>
        <v>1</v>
      </c>
      <c r="D78" s="35" t="b">
        <v>0</v>
      </c>
      <c r="E78" s="35" t="b">
        <v>0</v>
      </c>
      <c r="F78" s="35" t="b">
        <v>0</v>
      </c>
      <c r="G78" s="35" t="b">
        <v>0</v>
      </c>
      <c r="H78" s="35" t="b">
        <v>0</v>
      </c>
      <c r="I78" s="35" t="b">
        <v>0</v>
      </c>
      <c r="J78" s="35" t="b">
        <v>0</v>
      </c>
      <c r="K78" s="35" t="b">
        <v>0</v>
      </c>
      <c r="L78" s="35" t="b">
        <v>0</v>
      </c>
      <c r="M78" s="35" t="b">
        <v>0</v>
      </c>
      <c r="N78" s="35" t="b">
        <v>0</v>
      </c>
      <c r="O78" s="35" t="b">
        <v>0</v>
      </c>
      <c r="P78" s="35" t="b">
        <v>0</v>
      </c>
      <c r="Q78" s="35" t="b">
        <v>0</v>
      </c>
      <c r="R78" s="35" t="b">
        <v>0</v>
      </c>
      <c r="S78" s="35" t="b">
        <v>0</v>
      </c>
      <c r="T78" s="35" t="b">
        <v>0</v>
      </c>
      <c r="U78" s="35" t="b">
        <v>0</v>
      </c>
      <c r="V78" s="35" t="b">
        <v>0</v>
      </c>
      <c r="W78" s="35" t="b">
        <v>0</v>
      </c>
      <c r="X78" s="35" t="b">
        <v>0</v>
      </c>
      <c r="Y78" s="35" t="b">
        <v>0</v>
      </c>
      <c r="Z78" s="35" t="b">
        <v>0</v>
      </c>
      <c r="AA78" s="35" t="b">
        <v>0</v>
      </c>
      <c r="AB78" s="35" t="b">
        <v>0</v>
      </c>
      <c r="AC78" s="35" t="b">
        <v>0</v>
      </c>
      <c r="AD78" s="35" t="b">
        <v>0</v>
      </c>
      <c r="AE78" s="35" t="b">
        <v>0</v>
      </c>
      <c r="AF78" s="35" t="b">
        <v>0</v>
      </c>
      <c r="AG78" s="35" t="b">
        <v>0</v>
      </c>
      <c r="AH78" s="35" t="b">
        <v>0</v>
      </c>
      <c r="AI78" s="35" t="b">
        <v>0</v>
      </c>
      <c r="AJ78" s="35" t="b">
        <v>0</v>
      </c>
      <c r="AK78" s="35" t="b">
        <v>1</v>
      </c>
      <c r="AL78" s="35" t="b">
        <v>0</v>
      </c>
      <c r="AM78" s="35" t="b">
        <v>0</v>
      </c>
      <c r="AN78" s="35" t="b">
        <v>0</v>
      </c>
      <c r="AO78" s="35" t="b">
        <v>0</v>
      </c>
      <c r="AP78" s="35" t="b">
        <v>0</v>
      </c>
      <c r="AQ78" s="35" t="b">
        <v>0</v>
      </c>
      <c r="AR78" s="35" t="b">
        <v>0</v>
      </c>
      <c r="AS78" s="35" t="b">
        <v>0</v>
      </c>
      <c r="AT78" s="35" t="b">
        <v>0</v>
      </c>
      <c r="AU78" s="35" t="b">
        <v>0</v>
      </c>
      <c r="AV78" s="35" t="b">
        <v>0</v>
      </c>
      <c r="AW78" s="35" t="b">
        <v>0</v>
      </c>
      <c r="AX78" s="35" t="b">
        <v>0</v>
      </c>
      <c r="AY78" s="35" t="b">
        <v>0</v>
      </c>
      <c r="AZ78" s="35" t="b">
        <v>0</v>
      </c>
      <c r="BA78" s="35" t="b">
        <v>0</v>
      </c>
      <c r="BB78" s="35" t="b">
        <v>0</v>
      </c>
      <c r="BC78" s="35" t="b">
        <v>0</v>
      </c>
      <c r="BD78" s="35" t="b">
        <v>0</v>
      </c>
      <c r="BE78" s="35" t="b">
        <v>0</v>
      </c>
      <c r="BF78" s="35" t="b">
        <v>0</v>
      </c>
      <c r="BG78" s="35" t="b">
        <v>0</v>
      </c>
      <c r="BH78" s="35" t="b">
        <v>0</v>
      </c>
      <c r="BI78" s="35" t="b">
        <v>0</v>
      </c>
      <c r="BJ78" s="35" t="b">
        <v>0</v>
      </c>
      <c r="BK78" s="35" t="b">
        <v>0</v>
      </c>
      <c r="BL78" s="35" t="b">
        <v>0</v>
      </c>
      <c r="BM78" s="35" t="b">
        <v>0</v>
      </c>
      <c r="BN78" s="35" t="b">
        <v>0</v>
      </c>
      <c r="BO78" s="35" t="b">
        <v>0</v>
      </c>
      <c r="BP78" s="35" t="b">
        <v>0</v>
      </c>
      <c r="BQ78" s="35" t="b">
        <v>0</v>
      </c>
      <c r="BR78" s="35" t="b">
        <v>0</v>
      </c>
      <c r="BS78" s="35" t="b">
        <v>1</v>
      </c>
      <c r="BT78" s="35" t="b">
        <v>0</v>
      </c>
      <c r="BU78" s="35" t="b">
        <v>0</v>
      </c>
      <c r="BV78" s="35" t="b">
        <v>0</v>
      </c>
      <c r="BW78" s="35" t="b">
        <v>0</v>
      </c>
      <c r="BX78" s="35" t="b">
        <v>0</v>
      </c>
      <c r="BY78" s="35" t="b">
        <v>0</v>
      </c>
      <c r="BZ78" s="35"/>
      <c r="CA78" s="35" t="b">
        <v>0</v>
      </c>
      <c r="CB78" s="35" t="b">
        <v>0</v>
      </c>
      <c r="CC78" s="35" t="b">
        <v>0</v>
      </c>
      <c r="CD78" s="35" t="b">
        <v>0</v>
      </c>
    </row>
    <row r="79" spans="1:82" x14ac:dyDescent="0.3">
      <c r="A79" s="35" t="s">
        <v>188</v>
      </c>
      <c r="B79" s="35" t="s">
        <v>188</v>
      </c>
      <c r="C79" s="35">
        <f t="shared" si="2"/>
        <v>4</v>
      </c>
      <c r="D79" s="35" t="b">
        <v>0</v>
      </c>
      <c r="E79" s="35" t="b">
        <v>0</v>
      </c>
      <c r="F79" s="35" t="b">
        <v>0</v>
      </c>
      <c r="G79" s="35" t="b">
        <v>0</v>
      </c>
      <c r="H79" s="35" t="b">
        <v>0</v>
      </c>
      <c r="I79" s="35" t="b">
        <v>0</v>
      </c>
      <c r="J79" s="35" t="b">
        <v>0</v>
      </c>
      <c r="K79" s="35" t="b">
        <v>0</v>
      </c>
      <c r="L79" s="35" t="b">
        <v>0</v>
      </c>
      <c r="M79" s="35" t="b">
        <v>1</v>
      </c>
      <c r="N79" s="35" t="b">
        <v>0</v>
      </c>
      <c r="O79" s="35" t="b">
        <v>0</v>
      </c>
      <c r="P79" s="35" t="b">
        <v>0</v>
      </c>
      <c r="Q79" s="35" t="b">
        <v>0</v>
      </c>
      <c r="R79" s="35" t="b">
        <v>0</v>
      </c>
      <c r="S79" s="35" t="b">
        <v>0</v>
      </c>
      <c r="T79" s="35" t="b">
        <v>0</v>
      </c>
      <c r="U79" s="35" t="b">
        <v>0</v>
      </c>
      <c r="V79" s="35" t="b">
        <v>0</v>
      </c>
      <c r="W79" s="35" t="b">
        <v>0</v>
      </c>
      <c r="X79" s="35" t="b">
        <v>0</v>
      </c>
      <c r="Y79" s="35" t="b">
        <v>0</v>
      </c>
      <c r="Z79" s="35" t="b">
        <v>0</v>
      </c>
      <c r="AA79" s="35" t="b">
        <v>0</v>
      </c>
      <c r="AB79" s="35" t="b">
        <v>0</v>
      </c>
      <c r="AC79" s="35" t="b">
        <v>0</v>
      </c>
      <c r="AD79" s="35" t="b">
        <v>1</v>
      </c>
      <c r="AE79" s="35" t="b">
        <v>0</v>
      </c>
      <c r="AF79" s="35" t="b">
        <v>0</v>
      </c>
      <c r="AG79" s="35" t="b">
        <v>0</v>
      </c>
      <c r="AH79" s="35" t="b">
        <v>1</v>
      </c>
      <c r="AI79" s="35" t="b">
        <v>0</v>
      </c>
      <c r="AJ79" s="35" t="b">
        <v>0</v>
      </c>
      <c r="AK79" s="35" t="b">
        <v>0</v>
      </c>
      <c r="AL79" s="35" t="b">
        <v>0</v>
      </c>
      <c r="AM79" s="35" t="b">
        <v>0</v>
      </c>
      <c r="AN79" s="35" t="b">
        <v>0</v>
      </c>
      <c r="AO79" s="35" t="b">
        <v>0</v>
      </c>
      <c r="AP79" s="35" t="b">
        <v>0</v>
      </c>
      <c r="AQ79" s="35" t="b">
        <v>0</v>
      </c>
      <c r="AR79" s="35" t="b">
        <v>0</v>
      </c>
      <c r="AS79" s="35" t="b">
        <v>0</v>
      </c>
      <c r="AT79" s="35" t="b">
        <v>0</v>
      </c>
      <c r="AU79" s="35" t="b">
        <v>0</v>
      </c>
      <c r="AV79" s="35" t="b">
        <v>1</v>
      </c>
      <c r="AW79" s="35" t="b">
        <v>0</v>
      </c>
      <c r="AX79" s="35" t="b">
        <v>0</v>
      </c>
      <c r="AY79" s="35" t="b">
        <v>0</v>
      </c>
      <c r="AZ79" s="35" t="b">
        <v>0</v>
      </c>
      <c r="BA79" s="35" t="b">
        <v>0</v>
      </c>
      <c r="BB79" s="35" t="b">
        <v>1</v>
      </c>
      <c r="BC79" s="35" t="b">
        <v>0</v>
      </c>
      <c r="BD79" s="35" t="b">
        <v>0</v>
      </c>
      <c r="BE79" s="35" t="b">
        <v>0</v>
      </c>
      <c r="BF79" s="35" t="b">
        <v>0</v>
      </c>
      <c r="BG79" s="35" t="b">
        <v>0</v>
      </c>
      <c r="BH79" s="35" t="b">
        <v>0</v>
      </c>
      <c r="BI79" s="35" t="b">
        <v>0</v>
      </c>
      <c r="BJ79" s="35" t="b">
        <v>0</v>
      </c>
      <c r="BK79" s="35" t="b">
        <v>0</v>
      </c>
      <c r="BL79" s="35" t="b">
        <v>0</v>
      </c>
      <c r="BM79" s="35" t="b">
        <v>0</v>
      </c>
      <c r="BN79" s="35" t="b">
        <v>0</v>
      </c>
      <c r="BO79" s="35" t="b">
        <v>0</v>
      </c>
      <c r="BP79" s="35" t="b">
        <v>0</v>
      </c>
      <c r="BQ79" s="35" t="b">
        <v>0</v>
      </c>
      <c r="BR79" s="35" t="b">
        <v>0</v>
      </c>
      <c r="BS79" s="35" t="b">
        <v>0</v>
      </c>
      <c r="BT79" s="35" t="b">
        <v>0</v>
      </c>
      <c r="BU79" s="35" t="b">
        <v>0</v>
      </c>
      <c r="BV79" s="35" t="b">
        <v>0</v>
      </c>
      <c r="BW79" s="35" t="b">
        <v>0</v>
      </c>
      <c r="BX79" s="35" t="b">
        <v>0</v>
      </c>
      <c r="BY79" s="35" t="b">
        <v>0</v>
      </c>
      <c r="BZ79" s="35" t="b">
        <v>0</v>
      </c>
      <c r="CA79" s="35"/>
      <c r="CB79" s="35" t="b">
        <v>0</v>
      </c>
      <c r="CC79" s="35" t="b">
        <v>0</v>
      </c>
      <c r="CD79" s="35" t="b">
        <v>0</v>
      </c>
    </row>
    <row r="80" spans="1:82" x14ac:dyDescent="0.3">
      <c r="A80" s="35" t="s">
        <v>146</v>
      </c>
      <c r="B80" s="35" t="s">
        <v>146</v>
      </c>
      <c r="C80" s="35">
        <f t="shared" si="2"/>
        <v>5</v>
      </c>
      <c r="D80" s="35" t="b">
        <v>0</v>
      </c>
      <c r="E80" s="35" t="b">
        <v>0</v>
      </c>
      <c r="F80" s="35" t="b">
        <v>0</v>
      </c>
      <c r="G80" s="35" t="b">
        <v>1</v>
      </c>
      <c r="H80" s="35" t="b">
        <v>0</v>
      </c>
      <c r="I80" s="35" t="b">
        <v>0</v>
      </c>
      <c r="J80" s="35" t="b">
        <v>0</v>
      </c>
      <c r="K80" s="35" t="b">
        <v>0</v>
      </c>
      <c r="L80" s="35" t="b">
        <v>1</v>
      </c>
      <c r="M80" s="35" t="b">
        <v>0</v>
      </c>
      <c r="N80" s="35" t="b">
        <v>0</v>
      </c>
      <c r="O80" s="35" t="b">
        <v>0</v>
      </c>
      <c r="P80" s="35" t="b">
        <v>0</v>
      </c>
      <c r="Q80" s="35" t="b">
        <v>0</v>
      </c>
      <c r="R80" s="35" t="b">
        <v>0</v>
      </c>
      <c r="S80" s="35" t="b">
        <v>0</v>
      </c>
      <c r="T80" s="35" t="b">
        <v>0</v>
      </c>
      <c r="U80" s="35" t="b">
        <v>1</v>
      </c>
      <c r="V80" s="35" t="b">
        <v>0</v>
      </c>
      <c r="W80" s="35" t="b">
        <v>0</v>
      </c>
      <c r="X80" s="35" t="b">
        <v>0</v>
      </c>
      <c r="Y80" s="35" t="b">
        <v>0</v>
      </c>
      <c r="Z80" s="35" t="b">
        <v>0</v>
      </c>
      <c r="AA80" s="35" t="b">
        <v>0</v>
      </c>
      <c r="AB80" s="35" t="b">
        <v>0</v>
      </c>
      <c r="AC80" s="35" t="b">
        <v>0</v>
      </c>
      <c r="AD80" s="35" t="b">
        <v>0</v>
      </c>
      <c r="AE80" s="35" t="b">
        <v>0</v>
      </c>
      <c r="AF80" s="35" t="b">
        <v>0</v>
      </c>
      <c r="AG80" s="35" t="b">
        <v>0</v>
      </c>
      <c r="AH80" s="35" t="b">
        <v>0</v>
      </c>
      <c r="AI80" s="35" t="b">
        <v>0</v>
      </c>
      <c r="AJ80" s="35" t="b">
        <v>0</v>
      </c>
      <c r="AK80" s="35" t="b">
        <v>0</v>
      </c>
      <c r="AL80" s="35" t="b">
        <v>0</v>
      </c>
      <c r="AM80" s="35" t="b">
        <v>0</v>
      </c>
      <c r="AN80" s="35" t="b">
        <v>0</v>
      </c>
      <c r="AO80" s="35" t="b">
        <v>0</v>
      </c>
      <c r="AP80" s="35" t="b">
        <v>0</v>
      </c>
      <c r="AQ80" s="35" t="b">
        <v>0</v>
      </c>
      <c r="AR80" s="35" t="b">
        <v>0</v>
      </c>
      <c r="AS80" s="35" t="b">
        <v>0</v>
      </c>
      <c r="AT80" s="35" t="b">
        <v>0</v>
      </c>
      <c r="AU80" s="35" t="b">
        <v>1</v>
      </c>
      <c r="AV80" s="35" t="b">
        <v>0</v>
      </c>
      <c r="AW80" s="35" t="b">
        <v>0</v>
      </c>
      <c r="AX80" s="35" t="b">
        <v>0</v>
      </c>
      <c r="AY80" s="35" t="b">
        <v>0</v>
      </c>
      <c r="AZ80" s="35" t="b">
        <v>0</v>
      </c>
      <c r="BA80" s="35" t="b">
        <v>0</v>
      </c>
      <c r="BB80" s="35" t="b">
        <v>0</v>
      </c>
      <c r="BC80" s="35" t="b">
        <v>1</v>
      </c>
      <c r="BD80" s="35" t="b">
        <v>0</v>
      </c>
      <c r="BE80" s="35" t="b">
        <v>0</v>
      </c>
      <c r="BF80" s="35" t="b">
        <v>0</v>
      </c>
      <c r="BG80" s="35" t="b">
        <v>0</v>
      </c>
      <c r="BH80" s="35" t="b">
        <v>0</v>
      </c>
      <c r="BI80" s="35" t="b">
        <v>0</v>
      </c>
      <c r="BJ80" s="35" t="b">
        <v>0</v>
      </c>
      <c r="BK80" s="35" t="b">
        <v>0</v>
      </c>
      <c r="BL80" s="35" t="b">
        <v>0</v>
      </c>
      <c r="BM80" s="35" t="b">
        <v>0</v>
      </c>
      <c r="BN80" s="35" t="b">
        <v>0</v>
      </c>
      <c r="BO80" s="35" t="b">
        <v>1</v>
      </c>
      <c r="BP80" s="35" t="b">
        <v>0</v>
      </c>
      <c r="BQ80" s="35" t="b">
        <v>0</v>
      </c>
      <c r="BR80" s="35" t="b">
        <v>0</v>
      </c>
      <c r="BS80" s="35" t="b">
        <v>0</v>
      </c>
      <c r="BT80" s="35" t="b">
        <v>0</v>
      </c>
      <c r="BU80" s="35" t="b">
        <v>0</v>
      </c>
      <c r="BV80" s="35" t="b">
        <v>0</v>
      </c>
      <c r="BW80" s="35" t="b">
        <v>0</v>
      </c>
      <c r="BX80" s="35" t="b">
        <v>0</v>
      </c>
      <c r="BY80" s="35" t="b">
        <v>0</v>
      </c>
      <c r="BZ80" s="35" t="b">
        <v>0</v>
      </c>
      <c r="CA80" s="35" t="b">
        <v>0</v>
      </c>
      <c r="CB80" s="35"/>
      <c r="CC80" s="35" t="b">
        <v>0</v>
      </c>
      <c r="CD80" s="35" t="b">
        <v>0</v>
      </c>
    </row>
    <row r="81" spans="1:82" x14ac:dyDescent="0.3">
      <c r="A81" s="35" t="s">
        <v>129</v>
      </c>
      <c r="B81" s="35" t="s">
        <v>129</v>
      </c>
      <c r="C81" s="35">
        <f t="shared" si="2"/>
        <v>8</v>
      </c>
      <c r="D81" s="35" t="b">
        <v>0</v>
      </c>
      <c r="E81" s="35" t="b">
        <v>0</v>
      </c>
      <c r="F81" s="35" t="b">
        <v>0</v>
      </c>
      <c r="G81" s="35" t="b">
        <v>0</v>
      </c>
      <c r="H81" s="35" t="b">
        <v>0</v>
      </c>
      <c r="I81" s="35" t="b">
        <v>1</v>
      </c>
      <c r="J81" s="35" t="b">
        <v>0</v>
      </c>
      <c r="K81" s="35" t="b">
        <v>0</v>
      </c>
      <c r="L81" s="35" t="b">
        <v>0</v>
      </c>
      <c r="M81" s="35" t="b">
        <v>0</v>
      </c>
      <c r="N81" s="35" t="b">
        <v>0</v>
      </c>
      <c r="O81" s="35" t="b">
        <v>0</v>
      </c>
      <c r="P81" s="35" t="b">
        <v>1</v>
      </c>
      <c r="Q81" s="35" t="b">
        <v>1</v>
      </c>
      <c r="R81" s="35" t="b">
        <v>0</v>
      </c>
      <c r="S81" s="35" t="b">
        <v>0</v>
      </c>
      <c r="T81" s="35" t="b">
        <v>0</v>
      </c>
      <c r="U81" s="35" t="b">
        <v>0</v>
      </c>
      <c r="V81" s="35" t="b">
        <v>0</v>
      </c>
      <c r="W81" s="35" t="b">
        <v>0</v>
      </c>
      <c r="X81" s="35" t="b">
        <v>0</v>
      </c>
      <c r="Y81" s="35" t="b">
        <v>0</v>
      </c>
      <c r="Z81" s="35" t="b">
        <v>0</v>
      </c>
      <c r="AA81" s="35" t="b">
        <v>0</v>
      </c>
      <c r="AB81" s="35" t="b">
        <v>0</v>
      </c>
      <c r="AC81" s="35" t="b">
        <v>0</v>
      </c>
      <c r="AD81" s="35" t="b">
        <v>0</v>
      </c>
      <c r="AE81" s="35" t="b">
        <v>0</v>
      </c>
      <c r="AF81" s="35" t="b">
        <v>0</v>
      </c>
      <c r="AG81" s="35" t="b">
        <v>0</v>
      </c>
      <c r="AH81" s="35" t="b">
        <v>0</v>
      </c>
      <c r="AI81" s="35" t="b">
        <v>0</v>
      </c>
      <c r="AJ81" s="35" t="b">
        <v>0</v>
      </c>
      <c r="AK81" s="35" t="b">
        <v>0</v>
      </c>
      <c r="AL81" s="35" t="b">
        <v>0</v>
      </c>
      <c r="AM81" s="35" t="b">
        <v>1</v>
      </c>
      <c r="AN81" s="35" t="b">
        <v>0</v>
      </c>
      <c r="AO81" s="35" t="b">
        <v>0</v>
      </c>
      <c r="AP81" s="35" t="b">
        <v>0</v>
      </c>
      <c r="AQ81" s="35" t="b">
        <v>1</v>
      </c>
      <c r="AR81" s="35" t="b">
        <v>1</v>
      </c>
      <c r="AS81" s="35" t="b">
        <v>0</v>
      </c>
      <c r="AT81" s="35" t="b">
        <v>1</v>
      </c>
      <c r="AU81" s="35" t="b">
        <v>0</v>
      </c>
      <c r="AV81" s="35" t="b">
        <v>0</v>
      </c>
      <c r="AW81" s="35" t="b">
        <v>0</v>
      </c>
      <c r="AX81" s="35" t="b">
        <v>0</v>
      </c>
      <c r="AY81" s="35" t="b">
        <v>0</v>
      </c>
      <c r="AZ81" s="35" t="b">
        <v>0</v>
      </c>
      <c r="BA81" s="35" t="b">
        <v>0</v>
      </c>
      <c r="BB81" s="35" t="b">
        <v>0</v>
      </c>
      <c r="BC81" s="35" t="b">
        <v>0</v>
      </c>
      <c r="BD81" s="35" t="b">
        <v>0</v>
      </c>
      <c r="BE81" s="35" t="b">
        <v>0</v>
      </c>
      <c r="BF81" s="35" t="b">
        <v>0</v>
      </c>
      <c r="BG81" s="35" t="b">
        <v>1</v>
      </c>
      <c r="BH81" s="35" t="b">
        <v>1</v>
      </c>
      <c r="BI81" s="35" t="b">
        <v>0</v>
      </c>
      <c r="BJ81" s="35" t="b">
        <v>0</v>
      </c>
      <c r="BK81" s="35" t="b">
        <v>0</v>
      </c>
      <c r="BL81" s="35" t="b">
        <v>0</v>
      </c>
      <c r="BM81" s="35" t="b">
        <v>0</v>
      </c>
      <c r="BN81" s="35" t="b">
        <v>0</v>
      </c>
      <c r="BO81" s="35" t="b">
        <v>0</v>
      </c>
      <c r="BP81" s="35" t="b">
        <v>0</v>
      </c>
      <c r="BQ81" s="35" t="b">
        <v>0</v>
      </c>
      <c r="BR81" s="35" t="b">
        <v>0</v>
      </c>
      <c r="BS81" s="35" t="b">
        <v>0</v>
      </c>
      <c r="BT81" s="35" t="b">
        <v>0</v>
      </c>
      <c r="BU81" s="35" t="b">
        <v>0</v>
      </c>
      <c r="BV81" s="35" t="b">
        <v>0</v>
      </c>
      <c r="BW81" s="35" t="b">
        <v>0</v>
      </c>
      <c r="BX81" s="35" t="b">
        <v>0</v>
      </c>
      <c r="BY81" s="35" t="b">
        <v>0</v>
      </c>
      <c r="BZ81" s="35" t="b">
        <v>0</v>
      </c>
      <c r="CA81" s="35" t="b">
        <v>0</v>
      </c>
      <c r="CB81" s="35" t="b">
        <v>0</v>
      </c>
      <c r="CC81" s="35"/>
      <c r="CD81" s="35" t="b">
        <v>0</v>
      </c>
    </row>
    <row r="82" spans="1:82" x14ac:dyDescent="0.3">
      <c r="A82" s="35" t="s">
        <v>189</v>
      </c>
      <c r="B82" s="35" t="s">
        <v>189</v>
      </c>
      <c r="C82" s="35">
        <f t="shared" si="2"/>
        <v>4</v>
      </c>
      <c r="D82" s="35" t="b">
        <v>0</v>
      </c>
      <c r="E82" s="35" t="b">
        <v>0</v>
      </c>
      <c r="F82" s="35" t="b">
        <v>0</v>
      </c>
      <c r="G82" s="35" t="b">
        <v>0</v>
      </c>
      <c r="H82" s="35" t="b">
        <v>0</v>
      </c>
      <c r="I82" s="35" t="b">
        <v>0</v>
      </c>
      <c r="J82" s="35" t="b">
        <v>0</v>
      </c>
      <c r="K82" s="35" t="b">
        <v>0</v>
      </c>
      <c r="L82" s="35" t="b">
        <v>0</v>
      </c>
      <c r="M82" s="35" t="b">
        <v>0</v>
      </c>
      <c r="N82" s="35" t="b">
        <v>1</v>
      </c>
      <c r="O82" s="35" t="b">
        <v>0</v>
      </c>
      <c r="P82" s="35" t="b">
        <v>0</v>
      </c>
      <c r="Q82" s="35" t="b">
        <v>0</v>
      </c>
      <c r="R82" s="35" t="b">
        <v>0</v>
      </c>
      <c r="S82" s="35" t="b">
        <v>0</v>
      </c>
      <c r="T82" s="35" t="b">
        <v>0</v>
      </c>
      <c r="U82" s="35" t="b">
        <v>0</v>
      </c>
      <c r="V82" s="35" t="b">
        <v>0</v>
      </c>
      <c r="W82" s="35" t="b">
        <v>0</v>
      </c>
      <c r="X82" s="35" t="b">
        <v>0</v>
      </c>
      <c r="Y82" s="35" t="b">
        <v>0</v>
      </c>
      <c r="Z82" s="35" t="b">
        <v>0</v>
      </c>
      <c r="AA82" s="35" t="b">
        <v>0</v>
      </c>
      <c r="AB82" s="35" t="b">
        <v>0</v>
      </c>
      <c r="AC82" s="35" t="b">
        <v>0</v>
      </c>
      <c r="AD82" s="35" t="b">
        <v>0</v>
      </c>
      <c r="AE82" s="35" t="b">
        <v>0</v>
      </c>
      <c r="AF82" s="35" t="b">
        <v>0</v>
      </c>
      <c r="AG82" s="35" t="b">
        <v>1</v>
      </c>
      <c r="AH82" s="35" t="b">
        <v>0</v>
      </c>
      <c r="AI82" s="35" t="b">
        <v>1</v>
      </c>
      <c r="AJ82" s="35" t="b">
        <v>0</v>
      </c>
      <c r="AK82" s="35" t="b">
        <v>0</v>
      </c>
      <c r="AL82" s="35" t="b">
        <v>0</v>
      </c>
      <c r="AM82" s="35" t="b">
        <v>0</v>
      </c>
      <c r="AN82" s="35" t="b">
        <v>0</v>
      </c>
      <c r="AO82" s="35" t="b">
        <v>0</v>
      </c>
      <c r="AP82" s="35" t="b">
        <v>0</v>
      </c>
      <c r="AQ82" s="35" t="b">
        <v>0</v>
      </c>
      <c r="AR82" s="35" t="b">
        <v>0</v>
      </c>
      <c r="AS82" s="35" t="b">
        <v>0</v>
      </c>
      <c r="AT82" s="35" t="b">
        <v>0</v>
      </c>
      <c r="AU82" s="35" t="b">
        <v>0</v>
      </c>
      <c r="AV82" s="35" t="b">
        <v>0</v>
      </c>
      <c r="AW82" s="35" t="b">
        <v>1</v>
      </c>
      <c r="AX82" s="35" t="b">
        <v>0</v>
      </c>
      <c r="AY82" s="35" t="b">
        <v>0</v>
      </c>
      <c r="AZ82" s="35" t="b">
        <v>0</v>
      </c>
      <c r="BA82" s="35" t="b">
        <v>0</v>
      </c>
      <c r="BB82" s="35" t="b">
        <v>0</v>
      </c>
      <c r="BC82" s="35" t="b">
        <v>0</v>
      </c>
      <c r="BD82" s="35" t="b">
        <v>0</v>
      </c>
      <c r="BE82" s="35" t="b">
        <v>0</v>
      </c>
      <c r="BF82" s="35" t="b">
        <v>0</v>
      </c>
      <c r="BG82" s="35" t="b">
        <v>0</v>
      </c>
      <c r="BH82" s="35" t="b">
        <v>0</v>
      </c>
      <c r="BI82" s="35" t="b">
        <v>1</v>
      </c>
      <c r="BJ82" s="35" t="b">
        <v>0</v>
      </c>
      <c r="BK82" s="35" t="b">
        <v>0</v>
      </c>
      <c r="BL82" s="35" t="b">
        <v>0</v>
      </c>
      <c r="BM82" s="35" t="b">
        <v>0</v>
      </c>
      <c r="BN82" s="35" t="b">
        <v>0</v>
      </c>
      <c r="BO82" s="35" t="b">
        <v>0</v>
      </c>
      <c r="BP82" s="35" t="b">
        <v>0</v>
      </c>
      <c r="BQ82" s="35" t="b">
        <v>0</v>
      </c>
      <c r="BR82" s="35" t="b">
        <v>0</v>
      </c>
      <c r="BS82" s="35" t="b">
        <v>0</v>
      </c>
      <c r="BT82" s="35" t="b">
        <v>0</v>
      </c>
      <c r="BU82" s="35" t="b">
        <v>0</v>
      </c>
      <c r="BV82" s="35" t="b">
        <v>0</v>
      </c>
      <c r="BW82" s="35" t="b">
        <v>0</v>
      </c>
      <c r="BX82" s="35" t="b">
        <v>0</v>
      </c>
      <c r="BY82" s="35" t="b">
        <v>0</v>
      </c>
      <c r="BZ82" s="35" t="b">
        <v>0</v>
      </c>
      <c r="CA82" s="35" t="b">
        <v>0</v>
      </c>
      <c r="CB82" s="35" t="b">
        <v>0</v>
      </c>
      <c r="CC82" s="35" t="b">
        <v>0</v>
      </c>
      <c r="CD82" s="35"/>
    </row>
  </sheetData>
  <conditionalFormatting sqref="D4:CD82">
    <cfRule type="containsText" dxfId="0" priority="1" operator="containsText" text="TRUE">
      <formula>NOT(ISERROR(SEARCH("TRUE",D4)))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X109"/>
  <sheetViews>
    <sheetView showGridLines="0" topLeftCell="A10" zoomScaleNormal="100" workbookViewId="0">
      <selection activeCell="J35" sqref="J35"/>
    </sheetView>
  </sheetViews>
  <sheetFormatPr defaultRowHeight="14" x14ac:dyDescent="0.3"/>
  <cols>
    <col min="1" max="1" width="12.09765625" customWidth="1"/>
    <col min="9" max="9" width="15.59765625" bestFit="1" customWidth="1"/>
  </cols>
  <sheetData>
    <row r="2" spans="1:50" s="1" customFormat="1" ht="20.25" thickBot="1" x14ac:dyDescent="0.35">
      <c r="A2" s="1" t="s">
        <v>315</v>
      </c>
    </row>
    <row r="3" spans="1:50" ht="17.25" thickTop="1" x14ac:dyDescent="0.3"/>
    <row r="4" spans="1:50" ht="16.5" x14ac:dyDescent="0.3">
      <c r="C4" s="4" t="s">
        <v>316</v>
      </c>
    </row>
    <row r="5" spans="1:50" ht="16.5" x14ac:dyDescent="0.3">
      <c r="A5" s="3"/>
    </row>
    <row r="6" spans="1:50" ht="16.5" x14ac:dyDescent="0.3">
      <c r="A6" s="3"/>
    </row>
    <row r="7" spans="1:50" ht="16.5" x14ac:dyDescent="0.3">
      <c r="C7" s="4" t="str">
        <f>council</f>
        <v>Alpine (S)</v>
      </c>
      <c r="J7" s="4" t="str">
        <f ca="1">'COUNCIL REPORT'!$H$194</f>
        <v>East Gippsland (S)</v>
      </c>
      <c r="Q7" s="4" t="str">
        <f ca="1">'COUNCIL REPORT'!$H$195</f>
        <v>Indigo (S)</v>
      </c>
      <c r="X7" s="4" t="str">
        <f ca="1">'COUNCIL REPORT'!$H$196</f>
        <v>Towong (S)</v>
      </c>
      <c r="AE7" s="4" t="str">
        <f ca="1">'COUNCIL REPORT'!$H$197</f>
        <v>Wangaratta (RC)</v>
      </c>
      <c r="AL7" s="4" t="str">
        <f>'COUNCIL REPORT'!$H$198</f>
        <v/>
      </c>
      <c r="AS7" s="4" t="str">
        <f>'COUNCIL REPORT'!$H$199</f>
        <v/>
      </c>
    </row>
    <row r="8" spans="1:50" ht="16.5" x14ac:dyDescent="0.3">
      <c r="C8" s="12"/>
      <c r="D8" s="12"/>
      <c r="E8" s="12" t="s">
        <v>307</v>
      </c>
      <c r="F8" s="12" t="s">
        <v>254</v>
      </c>
      <c r="G8" s="12" t="s">
        <v>252</v>
      </c>
      <c r="H8" s="12" t="s">
        <v>253</v>
      </c>
      <c r="I8" s="13"/>
      <c r="J8" s="12"/>
      <c r="K8" s="12"/>
      <c r="L8" s="12" t="s">
        <v>307</v>
      </c>
      <c r="M8" s="12" t="s">
        <v>254</v>
      </c>
      <c r="N8" s="12" t="s">
        <v>252</v>
      </c>
      <c r="O8" s="12" t="s">
        <v>253</v>
      </c>
      <c r="Q8" s="12"/>
      <c r="R8" s="12"/>
      <c r="S8" s="12" t="s">
        <v>307</v>
      </c>
      <c r="T8" s="12" t="s">
        <v>254</v>
      </c>
      <c r="U8" s="12" t="s">
        <v>252</v>
      </c>
      <c r="V8" s="12" t="s">
        <v>253</v>
      </c>
      <c r="X8" s="12"/>
      <c r="Y8" s="12"/>
      <c r="Z8" s="12" t="s">
        <v>307</v>
      </c>
      <c r="AA8" s="12" t="s">
        <v>254</v>
      </c>
      <c r="AB8" s="12" t="s">
        <v>252</v>
      </c>
      <c r="AC8" s="12" t="s">
        <v>253</v>
      </c>
      <c r="AE8" s="12"/>
      <c r="AF8" s="12"/>
      <c r="AG8" s="12" t="s">
        <v>307</v>
      </c>
      <c r="AH8" s="12" t="s">
        <v>254</v>
      </c>
      <c r="AI8" s="12" t="s">
        <v>252</v>
      </c>
      <c r="AJ8" s="12" t="s">
        <v>253</v>
      </c>
      <c r="AL8" s="12"/>
      <c r="AM8" s="12"/>
      <c r="AN8" s="12" t="s">
        <v>307</v>
      </c>
      <c r="AO8" s="12" t="s">
        <v>254</v>
      </c>
      <c r="AP8" s="12" t="s">
        <v>252</v>
      </c>
      <c r="AQ8" s="12" t="s">
        <v>253</v>
      </c>
      <c r="AS8" s="12"/>
      <c r="AT8" s="12"/>
      <c r="AU8" s="12" t="s">
        <v>307</v>
      </c>
      <c r="AV8" s="12" t="s">
        <v>254</v>
      </c>
      <c r="AW8" s="12" t="s">
        <v>252</v>
      </c>
      <c r="AX8" s="12" t="s">
        <v>253</v>
      </c>
    </row>
    <row r="9" spans="1:50" ht="16.5" x14ac:dyDescent="0.3">
      <c r="C9" s="3" t="str">
        <f>C$7</f>
        <v>Alpine (S)</v>
      </c>
      <c r="D9" s="3" t="str">
        <f t="array" ref="D9:D22">TRANSPOSE('COUNCIL REPORT'!$D233:$Q233)</f>
        <v>2018-19</v>
      </c>
      <c r="E9" s="13">
        <f ca="1">H9</f>
        <v>1.1072052738051026</v>
      </c>
      <c r="F9" s="13">
        <f ca="1">G9-H9</f>
        <v>9.2794726194897592E-2</v>
      </c>
      <c r="G9" s="13">
        <f t="array" aca="1" ref="G9:G22" ca="1">TRANSPOSE(CALCS!$D$168:$Q$168)</f>
        <v>1.2000000000000002</v>
      </c>
      <c r="H9" s="13">
        <f t="array" aca="1" ref="H9:H22" ca="1">TRANSPOSE(CALCS!$D$238:$Q$238)</f>
        <v>1.1072052738051026</v>
      </c>
      <c r="I9" s="13"/>
      <c r="J9" s="3" t="str">
        <f ca="1">J$7</f>
        <v>East Gippsland (S)</v>
      </c>
      <c r="K9" s="3" t="str">
        <f t="array" ref="K9:K22">TRANSPOSE('COUNCIL REPORT'!$D233:$Q233)</f>
        <v>2018-19</v>
      </c>
      <c r="L9" s="13">
        <f t="shared" ref="L9:L22" ca="1" si="0">O9</f>
        <v>6.2526727742320718</v>
      </c>
      <c r="M9" s="13">
        <f t="shared" ref="M9:M22" ca="1" si="1">N9-O9</f>
        <v>-5.2672774232071617E-2</v>
      </c>
      <c r="N9" s="13">
        <f ca="1">INDEX(CONSOLIDATED!$H$6:$V$84,MATCH(J9,CONSOLIDATED!$A$6:$A$84,0),MATCH(K9,CONSOLIDATED!$H$2:$V$2,0))</f>
        <v>6.2</v>
      </c>
      <c r="O9" s="13">
        <f ca="1">INDEX(CONSOLIDATED!$H$88:$V$166,MATCH(J9,CONSOLIDATED!$A$88:$A$166,0),MATCH(K9,CONSOLIDATED!$H$2:$V$2,0))</f>
        <v>6.2526727742320718</v>
      </c>
      <c r="Q9" s="3" t="str">
        <f ca="1">Q$7</f>
        <v>Indigo (S)</v>
      </c>
      <c r="R9" s="3" t="str">
        <f t="array" ref="R9:R22">TRANSPOSE('COUNCIL REPORT'!$D233:$Q233)</f>
        <v>2018-19</v>
      </c>
      <c r="S9" s="13">
        <f t="shared" ref="S9:S22" ca="1" si="2">V9</f>
        <v>1.506925760558373</v>
      </c>
      <c r="T9" s="13">
        <f t="shared" ref="T9:T22" ca="1" si="3">U9-V9</f>
        <v>1.3074239441627E-2</v>
      </c>
      <c r="U9" s="13">
        <f ca="1">INDEX(CONSOLIDATED!$H$6:$V$84,MATCH(Q9,CONSOLIDATED!$A$6:$A$84,0),MATCH(R9,CONSOLIDATED!$H$2:$V$2,0))</f>
        <v>1.52</v>
      </c>
      <c r="V9" s="13">
        <f ca="1">INDEX(CONSOLIDATED!$H$88:$V$166,MATCH(Q9,CONSOLIDATED!$A$88:$A$166,0),MATCH(R9,CONSOLIDATED!$H$2:$V$2,0))</f>
        <v>1.506925760558373</v>
      </c>
      <c r="X9" s="3" t="str">
        <f ca="1">X$7</f>
        <v>Towong (S)</v>
      </c>
      <c r="Y9" s="3" t="str">
        <f t="array" ref="Y9:Y22">TRANSPOSE('COUNCIL REPORT'!$D233:$Q233)</f>
        <v>2018-19</v>
      </c>
      <c r="Z9" s="13">
        <f t="shared" ref="Z9:Z22" ca="1" si="4">AC9</f>
        <v>3.027594454633141</v>
      </c>
      <c r="AA9" s="13">
        <f t="shared" ref="AA9:AA22" ca="1" si="5">AB9-AC9</f>
        <v>-2.2275944546331408</v>
      </c>
      <c r="AB9" s="13">
        <f ca="1">INDEX(CONSOLIDATED!$H$6:$V$84,MATCH(X9,CONSOLIDATED!$A$6:$A$84,0),MATCH(Y9,CONSOLIDATED!$H$2:$V$2,0))</f>
        <v>0.8</v>
      </c>
      <c r="AC9" s="13">
        <f ca="1">INDEX(CONSOLIDATED!$H$88:$V$166,MATCH(X9,CONSOLIDATED!$A$88:$A$166,0),MATCH(Y9,CONSOLIDATED!$H$2:$V$2,0))</f>
        <v>3.027594454633141</v>
      </c>
      <c r="AE9" s="3" t="str">
        <f ca="1">AE$7</f>
        <v>Wangaratta (RC)</v>
      </c>
      <c r="AF9" s="3" t="str">
        <f t="array" ref="AF9:AF22">TRANSPOSE('COUNCIL REPORT'!$D233:$Q233)</f>
        <v>2018-19</v>
      </c>
      <c r="AG9" s="13">
        <f t="shared" ref="AG9:AG22" ca="1" si="6">AJ9</f>
        <v>2.3802042137021977</v>
      </c>
      <c r="AH9" s="13">
        <f t="shared" ref="AH9:AH22" ca="1" si="7">AI9-AJ9</f>
        <v>0.3697957862978023</v>
      </c>
      <c r="AI9" s="13">
        <f ca="1">INDEX(CONSOLIDATED!$H$6:$V$84,MATCH(AE9,CONSOLIDATED!$A$6:$A$84,0),MATCH(AF9,CONSOLIDATED!$H$2:$V$2,0))</f>
        <v>2.75</v>
      </c>
      <c r="AJ9" s="13">
        <f ca="1">INDEX(CONSOLIDATED!$H$88:$V$166,MATCH(AE9,CONSOLIDATED!$A$88:$A$166,0),MATCH(AF9,CONSOLIDATED!$H$2:$V$2,0))</f>
        <v>2.3802042137021977</v>
      </c>
      <c r="AL9" s="3" t="str">
        <f>AL$7</f>
        <v/>
      </c>
      <c r="AM9" s="3" t="str">
        <f t="array" ref="AM9:AM22">TRANSPOSE('COUNCIL REPORT'!$D233:$Q233)</f>
        <v>2018-19</v>
      </c>
      <c r="AN9" s="13" t="e">
        <f t="shared" ref="AN9:AN22" si="8">AQ9</f>
        <v>#N/A</v>
      </c>
      <c r="AO9" s="13" t="e">
        <f t="shared" ref="AO9:AO22" si="9">AP9-AQ9</f>
        <v>#N/A</v>
      </c>
      <c r="AP9" s="13" t="e">
        <f>INDEX(CONSOLIDATED!$H$6:$V$84,MATCH(AL9,CONSOLIDATED!$A$6:$A$84,0),MATCH(AM9,CONSOLIDATED!$H$2:$V$2,0))</f>
        <v>#N/A</v>
      </c>
      <c r="AQ9" s="13" t="e">
        <f>INDEX(CONSOLIDATED!$H$88:$V$166,MATCH(AL9,CONSOLIDATED!$A$88:$A$166,0),MATCH(AM9,CONSOLIDATED!$H$2:$V$2,0))</f>
        <v>#N/A</v>
      </c>
      <c r="AS9" s="3" t="str">
        <f>AS$7</f>
        <v/>
      </c>
      <c r="AT9" s="3" t="str">
        <f t="array" ref="AT9:AT22">TRANSPOSE('COUNCIL REPORT'!$D233:$Q233)</f>
        <v>2018-19</v>
      </c>
      <c r="AU9" s="13" t="e">
        <f t="shared" ref="AU9:AU22" si="10">AX9</f>
        <v>#N/A</v>
      </c>
      <c r="AV9" s="13" t="e">
        <f t="shared" ref="AV9:AV22" si="11">AW9-AX9</f>
        <v>#N/A</v>
      </c>
      <c r="AW9" s="13" t="e">
        <f>INDEX(CONSOLIDATED!$H$6:$V$84,MATCH(AS9,CONSOLIDATED!$A$6:$A$84,0),MATCH(AT9,CONSOLIDATED!$H$2:$V$2,0))</f>
        <v>#N/A</v>
      </c>
      <c r="AX9" s="13" t="e">
        <f>INDEX(CONSOLIDATED!$H$88:$V$166,MATCH(AS9,CONSOLIDATED!$A$88:$A$166,0),MATCH(AT9,CONSOLIDATED!$H$2:$V$2,0))</f>
        <v>#N/A</v>
      </c>
    </row>
    <row r="10" spans="1:50" ht="16.5" x14ac:dyDescent="0.3">
      <c r="C10" s="3" t="str">
        <f t="shared" ref="C10:C22" si="12">C$7</f>
        <v>Alpine (S)</v>
      </c>
      <c r="D10" s="3" t="str">
        <v>2019-20</v>
      </c>
      <c r="E10" s="13">
        <f t="shared" ref="E10:E22" ca="1" si="13">H10</f>
        <v>1.4360100119382886</v>
      </c>
      <c r="F10" s="13">
        <f t="shared" ref="F10:F22" ca="1" si="14">G10-H10</f>
        <v>-0.23601001193828841</v>
      </c>
      <c r="G10" s="13">
        <f ca="1"/>
        <v>1.2000000000000002</v>
      </c>
      <c r="H10" s="13">
        <f ca="1"/>
        <v>1.4360100119382886</v>
      </c>
      <c r="I10" s="13"/>
      <c r="J10" s="3" t="str">
        <f t="shared" ref="J10:J22" ca="1" si="15">J$7</f>
        <v>East Gippsland (S)</v>
      </c>
      <c r="K10" s="3" t="str">
        <v>2019-20</v>
      </c>
      <c r="L10" s="13">
        <f t="shared" ca="1" si="0"/>
        <v>6.8970965415960448</v>
      </c>
      <c r="M10" s="13">
        <f t="shared" ca="1" si="1"/>
        <v>-0.69709654159604462</v>
      </c>
      <c r="N10" s="13">
        <f ca="1">INDEX(CONSOLIDATED!$H$6:$V$84,MATCH(J10,CONSOLIDATED!$A$6:$A$84,0),MATCH(K10,CONSOLIDATED!$H$2:$V$2,0))</f>
        <v>6.2</v>
      </c>
      <c r="O10" s="13">
        <f ca="1">INDEX(CONSOLIDATED!$H$88:$V$166,MATCH(J10,CONSOLIDATED!$A$88:$A$166,0),MATCH(K10,CONSOLIDATED!$H$2:$V$2,0))</f>
        <v>6.8970965415960448</v>
      </c>
      <c r="Q10" s="3" t="str">
        <f t="shared" ref="Q10:Q22" ca="1" si="16">Q$7</f>
        <v>Indigo (S)</v>
      </c>
      <c r="R10" s="3" t="str">
        <v>2019-20</v>
      </c>
      <c r="S10" s="13">
        <f t="shared" ca="1" si="2"/>
        <v>1.8756826628567707</v>
      </c>
      <c r="T10" s="13">
        <f t="shared" ca="1" si="3"/>
        <v>-0.35568266285677064</v>
      </c>
      <c r="U10" s="13">
        <f ca="1">INDEX(CONSOLIDATED!$H$6:$V$84,MATCH(Q10,CONSOLIDATED!$A$6:$A$84,0),MATCH(R10,CONSOLIDATED!$H$2:$V$2,0))</f>
        <v>1.52</v>
      </c>
      <c r="V10" s="13">
        <f ca="1">INDEX(CONSOLIDATED!$H$88:$V$166,MATCH(Q10,CONSOLIDATED!$A$88:$A$166,0),MATCH(R10,CONSOLIDATED!$H$2:$V$2,0))</f>
        <v>1.8756826628567707</v>
      </c>
      <c r="X10" s="3" t="str">
        <f t="shared" ref="X10:X22" ca="1" si="17">X$7</f>
        <v>Towong (S)</v>
      </c>
      <c r="Y10" s="3" t="str">
        <v>2019-20</v>
      </c>
      <c r="Z10" s="13">
        <f t="shared" ca="1" si="4"/>
        <v>4.9047139582850914</v>
      </c>
      <c r="AA10" s="13">
        <f t="shared" ca="1" si="5"/>
        <v>-4.1047139582850916</v>
      </c>
      <c r="AB10" s="13">
        <f ca="1">INDEX(CONSOLIDATED!$H$6:$V$84,MATCH(X10,CONSOLIDATED!$A$6:$A$84,0),MATCH(Y10,CONSOLIDATED!$H$2:$V$2,0))</f>
        <v>0.8</v>
      </c>
      <c r="AC10" s="13">
        <f ca="1">INDEX(CONSOLIDATED!$H$88:$V$166,MATCH(X10,CONSOLIDATED!$A$88:$A$166,0),MATCH(Y10,CONSOLIDATED!$H$2:$V$2,0))</f>
        <v>4.9047139582850914</v>
      </c>
      <c r="AE10" s="3" t="str">
        <f t="shared" ref="AE10:AE22" ca="1" si="18">AE$7</f>
        <v>Wangaratta (RC)</v>
      </c>
      <c r="AF10" s="3" t="str">
        <v>2019-20</v>
      </c>
      <c r="AG10" s="13">
        <f t="shared" ca="1" si="6"/>
        <v>2.6026926250586313</v>
      </c>
      <c r="AH10" s="13">
        <f t="shared" ca="1" si="7"/>
        <v>0.1473073749413687</v>
      </c>
      <c r="AI10" s="13">
        <f ca="1">INDEX(CONSOLIDATED!$H$6:$V$84,MATCH(AE10,CONSOLIDATED!$A$6:$A$84,0),MATCH(AF10,CONSOLIDATED!$H$2:$V$2,0))</f>
        <v>2.75</v>
      </c>
      <c r="AJ10" s="13">
        <f ca="1">INDEX(CONSOLIDATED!$H$88:$V$166,MATCH(AE10,CONSOLIDATED!$A$88:$A$166,0),MATCH(AF10,CONSOLIDATED!$H$2:$V$2,0))</f>
        <v>2.6026926250586313</v>
      </c>
      <c r="AL10" s="3" t="str">
        <f t="shared" ref="AL10:AL22" si="19">AL$7</f>
        <v/>
      </c>
      <c r="AM10" s="3" t="str">
        <v>2019-20</v>
      </c>
      <c r="AN10" s="13" t="e">
        <f t="shared" si="8"/>
        <v>#N/A</v>
      </c>
      <c r="AO10" s="13" t="e">
        <f t="shared" si="9"/>
        <v>#N/A</v>
      </c>
      <c r="AP10" s="13" t="e">
        <f>INDEX(CONSOLIDATED!$H$6:$V$84,MATCH(AL10,CONSOLIDATED!$A$6:$A$84,0),MATCH(AM10,CONSOLIDATED!$H$2:$V$2,0))</f>
        <v>#N/A</v>
      </c>
      <c r="AQ10" s="13" t="e">
        <f>INDEX(CONSOLIDATED!$H$88:$V$166,MATCH(AL10,CONSOLIDATED!$A$88:$A$166,0),MATCH(AM10,CONSOLIDATED!$H$2:$V$2,0))</f>
        <v>#N/A</v>
      </c>
      <c r="AS10" s="3" t="str">
        <f t="shared" ref="AS10:AS22" si="20">AS$7</f>
        <v/>
      </c>
      <c r="AT10" s="3" t="str">
        <v>2019-20</v>
      </c>
      <c r="AU10" s="13" t="e">
        <f t="shared" si="10"/>
        <v>#N/A</v>
      </c>
      <c r="AV10" s="13" t="e">
        <f t="shared" si="11"/>
        <v>#N/A</v>
      </c>
      <c r="AW10" s="13" t="e">
        <f>INDEX(CONSOLIDATED!$H$6:$V$84,MATCH(AS10,CONSOLIDATED!$A$6:$A$84,0),MATCH(AT10,CONSOLIDATED!$H$2:$V$2,0))</f>
        <v>#N/A</v>
      </c>
      <c r="AX10" s="13" t="e">
        <f>INDEX(CONSOLIDATED!$H$88:$V$166,MATCH(AS10,CONSOLIDATED!$A$88:$A$166,0),MATCH(AT10,CONSOLIDATED!$H$2:$V$2,0))</f>
        <v>#N/A</v>
      </c>
    </row>
    <row r="11" spans="1:50" ht="16.5" x14ac:dyDescent="0.3">
      <c r="C11" s="3" t="str">
        <f t="shared" si="12"/>
        <v>Alpine (S)</v>
      </c>
      <c r="D11" s="3" t="str">
        <v>2020-21</v>
      </c>
      <c r="E11" s="13">
        <f t="shared" ca="1" si="13"/>
        <v>1.6361725784545718</v>
      </c>
      <c r="F11" s="13">
        <f t="shared" ca="1" si="14"/>
        <v>-0.43617257845457158</v>
      </c>
      <c r="G11" s="13">
        <f ca="1"/>
        <v>1.2000000000000002</v>
      </c>
      <c r="H11" s="13">
        <f ca="1"/>
        <v>1.6361725784545718</v>
      </c>
      <c r="I11" s="13"/>
      <c r="J11" s="3" t="str">
        <f t="shared" ca="1" si="15"/>
        <v>East Gippsland (S)</v>
      </c>
      <c r="K11" s="3" t="str">
        <v>2020-21</v>
      </c>
      <c r="L11" s="13">
        <f t="shared" ca="1" si="0"/>
        <v>7.4530859049501057</v>
      </c>
      <c r="M11" s="13">
        <f t="shared" ca="1" si="1"/>
        <v>-1.2530859049501055</v>
      </c>
      <c r="N11" s="13">
        <f ca="1">INDEX(CONSOLIDATED!$H$6:$V$84,MATCH(J11,CONSOLIDATED!$A$6:$A$84,0),MATCH(K11,CONSOLIDATED!$H$2:$V$2,0))</f>
        <v>6.2</v>
      </c>
      <c r="O11" s="13">
        <f ca="1">INDEX(CONSOLIDATED!$H$88:$V$166,MATCH(J11,CONSOLIDATED!$A$88:$A$166,0),MATCH(K11,CONSOLIDATED!$H$2:$V$2,0))</f>
        <v>7.4530859049501057</v>
      </c>
      <c r="Q11" s="3" t="str">
        <f t="shared" ca="1" si="16"/>
        <v>Indigo (S)</v>
      </c>
      <c r="R11" s="3" t="str">
        <v>2020-21</v>
      </c>
      <c r="S11" s="13">
        <f t="shared" ca="1" si="2"/>
        <v>2.1055113456424288</v>
      </c>
      <c r="T11" s="13">
        <f t="shared" ca="1" si="3"/>
        <v>-0.58551134564242879</v>
      </c>
      <c r="U11" s="13">
        <f ca="1">INDEX(CONSOLIDATED!$H$6:$V$84,MATCH(Q11,CONSOLIDATED!$A$6:$A$84,0),MATCH(R11,CONSOLIDATED!$H$2:$V$2,0))</f>
        <v>1.52</v>
      </c>
      <c r="V11" s="13">
        <f ca="1">INDEX(CONSOLIDATED!$H$88:$V$166,MATCH(Q11,CONSOLIDATED!$A$88:$A$166,0),MATCH(R11,CONSOLIDATED!$H$2:$V$2,0))</f>
        <v>2.1055113456424288</v>
      </c>
      <c r="X11" s="3" t="str">
        <f t="shared" ca="1" si="17"/>
        <v>Towong (S)</v>
      </c>
      <c r="Y11" s="3" t="str">
        <v>2020-21</v>
      </c>
      <c r="Z11" s="13">
        <f t="shared" ca="1" si="4"/>
        <v>5.9102726933692882</v>
      </c>
      <c r="AA11" s="13">
        <f t="shared" ca="1" si="5"/>
        <v>-5.1102726933692884</v>
      </c>
      <c r="AB11" s="13">
        <f ca="1">INDEX(CONSOLIDATED!$H$6:$V$84,MATCH(X11,CONSOLIDATED!$A$6:$A$84,0),MATCH(Y11,CONSOLIDATED!$H$2:$V$2,0))</f>
        <v>0.8</v>
      </c>
      <c r="AC11" s="13">
        <f ca="1">INDEX(CONSOLIDATED!$H$88:$V$166,MATCH(X11,CONSOLIDATED!$A$88:$A$166,0),MATCH(Y11,CONSOLIDATED!$H$2:$V$2,0))</f>
        <v>5.9102726933692882</v>
      </c>
      <c r="AE11" s="3" t="str">
        <f t="shared" ca="1" si="18"/>
        <v>Wangaratta (RC)</v>
      </c>
      <c r="AF11" s="3" t="str">
        <v>2020-21</v>
      </c>
      <c r="AG11" s="13">
        <f t="shared" ca="1" si="6"/>
        <v>2.7556500862998998</v>
      </c>
      <c r="AH11" s="13">
        <f t="shared" ca="1" si="7"/>
        <v>-5.6500862998998258E-3</v>
      </c>
      <c r="AI11" s="13">
        <f ca="1">INDEX(CONSOLIDATED!$H$6:$V$84,MATCH(AE11,CONSOLIDATED!$A$6:$A$84,0),MATCH(AF11,CONSOLIDATED!$H$2:$V$2,0))</f>
        <v>2.75</v>
      </c>
      <c r="AJ11" s="13">
        <f ca="1">INDEX(CONSOLIDATED!$H$88:$V$166,MATCH(AE11,CONSOLIDATED!$A$88:$A$166,0),MATCH(AF11,CONSOLIDATED!$H$2:$V$2,0))</f>
        <v>2.7556500862998998</v>
      </c>
      <c r="AL11" s="3" t="str">
        <f t="shared" si="19"/>
        <v/>
      </c>
      <c r="AM11" s="3" t="str">
        <v>2020-21</v>
      </c>
      <c r="AN11" s="13" t="e">
        <f t="shared" si="8"/>
        <v>#N/A</v>
      </c>
      <c r="AO11" s="13" t="e">
        <f t="shared" si="9"/>
        <v>#N/A</v>
      </c>
      <c r="AP11" s="13" t="e">
        <f>INDEX(CONSOLIDATED!$H$6:$V$84,MATCH(AL11,CONSOLIDATED!$A$6:$A$84,0),MATCH(AM11,CONSOLIDATED!$H$2:$V$2,0))</f>
        <v>#N/A</v>
      </c>
      <c r="AQ11" s="13" t="e">
        <f>INDEX(CONSOLIDATED!$H$88:$V$166,MATCH(AL11,CONSOLIDATED!$A$88:$A$166,0),MATCH(AM11,CONSOLIDATED!$H$2:$V$2,0))</f>
        <v>#N/A</v>
      </c>
      <c r="AS11" s="3" t="str">
        <f t="shared" si="20"/>
        <v/>
      </c>
      <c r="AT11" s="3" t="str">
        <v>2020-21</v>
      </c>
      <c r="AU11" s="13" t="e">
        <f t="shared" si="10"/>
        <v>#N/A</v>
      </c>
      <c r="AV11" s="13" t="e">
        <f t="shared" si="11"/>
        <v>#N/A</v>
      </c>
      <c r="AW11" s="13" t="e">
        <f>INDEX(CONSOLIDATED!$H$6:$V$84,MATCH(AS11,CONSOLIDATED!$A$6:$A$84,0),MATCH(AT11,CONSOLIDATED!$H$2:$V$2,0))</f>
        <v>#N/A</v>
      </c>
      <c r="AX11" s="13" t="e">
        <f>INDEX(CONSOLIDATED!$H$88:$V$166,MATCH(AS11,CONSOLIDATED!$A$88:$A$166,0),MATCH(AT11,CONSOLIDATED!$H$2:$V$2,0))</f>
        <v>#N/A</v>
      </c>
    </row>
    <row r="12" spans="1:50" ht="16.5" x14ac:dyDescent="0.3">
      <c r="C12" s="3" t="str">
        <f t="shared" si="12"/>
        <v>Alpine (S)</v>
      </c>
      <c r="D12" s="3" t="str">
        <v>2021-22</v>
      </c>
      <c r="E12" s="13">
        <f t="shared" ca="1" si="13"/>
        <v>1.6331140772535548</v>
      </c>
      <c r="F12" s="13">
        <f t="shared" ca="1" si="14"/>
        <v>-0.43311407725355466</v>
      </c>
      <c r="G12" s="13">
        <f ca="1"/>
        <v>1.2000000000000002</v>
      </c>
      <c r="H12" s="13">
        <f ca="1"/>
        <v>1.6331140772535548</v>
      </c>
      <c r="I12" s="13"/>
      <c r="J12" s="3" t="str">
        <f t="shared" ca="1" si="15"/>
        <v>East Gippsland (S)</v>
      </c>
      <c r="K12" s="3" t="str">
        <v>2021-22</v>
      </c>
      <c r="L12" s="13">
        <f t="shared" ca="1" si="0"/>
        <v>7.6298725011447139</v>
      </c>
      <c r="M12" s="13">
        <f t="shared" ca="1" si="1"/>
        <v>-1.4298725011447138</v>
      </c>
      <c r="N12" s="13">
        <f ca="1">INDEX(CONSOLIDATED!$H$6:$V$84,MATCH(J12,CONSOLIDATED!$A$6:$A$84,0),MATCH(K12,CONSOLIDATED!$H$2:$V$2,0))</f>
        <v>6.2</v>
      </c>
      <c r="O12" s="13">
        <f ca="1">INDEX(CONSOLIDATED!$H$88:$V$166,MATCH(J12,CONSOLIDATED!$A$88:$A$166,0),MATCH(K12,CONSOLIDATED!$H$2:$V$2,0))</f>
        <v>7.6298725011447139</v>
      </c>
      <c r="Q12" s="3" t="str">
        <f t="shared" ca="1" si="16"/>
        <v>Indigo (S)</v>
      </c>
      <c r="R12" s="3" t="str">
        <v>2021-22</v>
      </c>
      <c r="S12" s="13">
        <f t="shared" ca="1" si="2"/>
        <v>2.0911882236479173</v>
      </c>
      <c r="T12" s="13">
        <f t="shared" ca="1" si="3"/>
        <v>-0.57118822364791733</v>
      </c>
      <c r="U12" s="13">
        <f ca="1">INDEX(CONSOLIDATED!$H$6:$V$84,MATCH(Q12,CONSOLIDATED!$A$6:$A$84,0),MATCH(R12,CONSOLIDATED!$H$2:$V$2,0))</f>
        <v>1.52</v>
      </c>
      <c r="V12" s="13">
        <f ca="1">INDEX(CONSOLIDATED!$H$88:$V$166,MATCH(Q12,CONSOLIDATED!$A$88:$A$166,0),MATCH(R12,CONSOLIDATED!$H$2:$V$2,0))</f>
        <v>2.0911882236479173</v>
      </c>
      <c r="X12" s="3" t="str">
        <f t="shared" ca="1" si="17"/>
        <v>Towong (S)</v>
      </c>
      <c r="Y12" s="3" t="str">
        <v>2021-22</v>
      </c>
      <c r="Z12" s="13">
        <f t="shared" ca="1" si="4"/>
        <v>5.8817012079997237</v>
      </c>
      <c r="AA12" s="13">
        <f t="shared" ca="1" si="5"/>
        <v>-5.0817012079997239</v>
      </c>
      <c r="AB12" s="13">
        <f ca="1">INDEX(CONSOLIDATED!$H$6:$V$84,MATCH(X12,CONSOLIDATED!$A$6:$A$84,0),MATCH(Y12,CONSOLIDATED!$H$2:$V$2,0))</f>
        <v>0.8</v>
      </c>
      <c r="AC12" s="13">
        <f ca="1">INDEX(CONSOLIDATED!$H$88:$V$166,MATCH(X12,CONSOLIDATED!$A$88:$A$166,0),MATCH(Y12,CONSOLIDATED!$H$2:$V$2,0))</f>
        <v>5.8817012079997237</v>
      </c>
      <c r="AE12" s="3" t="str">
        <f t="shared" ca="1" si="18"/>
        <v>Wangaratta (RC)</v>
      </c>
      <c r="AF12" s="3" t="str">
        <v>2021-22</v>
      </c>
      <c r="AG12" s="13">
        <f t="shared" ca="1" si="6"/>
        <v>2.7780155170732175</v>
      </c>
      <c r="AH12" s="13">
        <f t="shared" ca="1" si="7"/>
        <v>-2.8015517073217477E-2</v>
      </c>
      <c r="AI12" s="13">
        <f ca="1">INDEX(CONSOLIDATED!$H$6:$V$84,MATCH(AE12,CONSOLIDATED!$A$6:$A$84,0),MATCH(AF12,CONSOLIDATED!$H$2:$V$2,0))</f>
        <v>2.75</v>
      </c>
      <c r="AJ12" s="13">
        <f ca="1">INDEX(CONSOLIDATED!$H$88:$V$166,MATCH(AE12,CONSOLIDATED!$A$88:$A$166,0),MATCH(AF12,CONSOLIDATED!$H$2:$V$2,0))</f>
        <v>2.7780155170732175</v>
      </c>
      <c r="AL12" s="3" t="str">
        <f t="shared" si="19"/>
        <v/>
      </c>
      <c r="AM12" s="3" t="str">
        <v>2021-22</v>
      </c>
      <c r="AN12" s="13" t="e">
        <f t="shared" si="8"/>
        <v>#N/A</v>
      </c>
      <c r="AO12" s="13" t="e">
        <f t="shared" si="9"/>
        <v>#N/A</v>
      </c>
      <c r="AP12" s="13" t="e">
        <f>INDEX(CONSOLIDATED!$H$6:$V$84,MATCH(AL12,CONSOLIDATED!$A$6:$A$84,0),MATCH(AM12,CONSOLIDATED!$H$2:$V$2,0))</f>
        <v>#N/A</v>
      </c>
      <c r="AQ12" s="13" t="e">
        <f>INDEX(CONSOLIDATED!$H$88:$V$166,MATCH(AL12,CONSOLIDATED!$A$88:$A$166,0),MATCH(AM12,CONSOLIDATED!$H$2:$V$2,0))</f>
        <v>#N/A</v>
      </c>
      <c r="AS12" s="3" t="str">
        <f t="shared" si="20"/>
        <v/>
      </c>
      <c r="AT12" s="3" t="str">
        <v>2021-22</v>
      </c>
      <c r="AU12" s="13" t="e">
        <f t="shared" si="10"/>
        <v>#N/A</v>
      </c>
      <c r="AV12" s="13" t="e">
        <f t="shared" si="11"/>
        <v>#N/A</v>
      </c>
      <c r="AW12" s="13" t="e">
        <f>INDEX(CONSOLIDATED!$H$6:$V$84,MATCH(AS12,CONSOLIDATED!$A$6:$A$84,0),MATCH(AT12,CONSOLIDATED!$H$2:$V$2,0))</f>
        <v>#N/A</v>
      </c>
      <c r="AX12" s="13" t="e">
        <f>INDEX(CONSOLIDATED!$H$88:$V$166,MATCH(AS12,CONSOLIDATED!$A$88:$A$166,0),MATCH(AT12,CONSOLIDATED!$H$2:$V$2,0))</f>
        <v>#N/A</v>
      </c>
    </row>
    <row r="13" spans="1:50" ht="16.5" x14ac:dyDescent="0.3">
      <c r="C13" s="3" t="str">
        <f t="shared" si="12"/>
        <v>Alpine (S)</v>
      </c>
      <c r="D13" s="3" t="str">
        <v>2022-23</v>
      </c>
      <c r="E13" s="13">
        <f t="shared" ca="1" si="13"/>
        <v>1.628814234123372</v>
      </c>
      <c r="F13" s="13">
        <f t="shared" ca="1" si="14"/>
        <v>-0.42881423412337183</v>
      </c>
      <c r="G13" s="13">
        <f ca="1"/>
        <v>1.2000000000000002</v>
      </c>
      <c r="H13" s="13">
        <f ca="1"/>
        <v>1.628814234123372</v>
      </c>
      <c r="I13" s="13"/>
      <c r="J13" s="3" t="str">
        <f t="shared" ca="1" si="15"/>
        <v>East Gippsland (S)</v>
      </c>
      <c r="K13" s="3" t="str">
        <v>2022-23</v>
      </c>
      <c r="L13" s="13">
        <f t="shared" ca="1" si="0"/>
        <v>7.8034311753631798</v>
      </c>
      <c r="M13" s="13">
        <f t="shared" ca="1" si="1"/>
        <v>-1.6034311753631796</v>
      </c>
      <c r="N13" s="13">
        <f ca="1">INDEX(CONSOLIDATED!$H$6:$V$84,MATCH(J13,CONSOLIDATED!$A$6:$A$84,0),MATCH(K13,CONSOLIDATED!$H$2:$V$2,0))</f>
        <v>6.2</v>
      </c>
      <c r="O13" s="13">
        <f ca="1">INDEX(CONSOLIDATED!$H$88:$V$166,MATCH(J13,CONSOLIDATED!$A$88:$A$166,0),MATCH(K13,CONSOLIDATED!$H$2:$V$2,0))</f>
        <v>7.8034311753631798</v>
      </c>
      <c r="Q13" s="3" t="str">
        <f t="shared" ca="1" si="16"/>
        <v>Indigo (S)</v>
      </c>
      <c r="R13" s="3" t="str">
        <v>2022-23</v>
      </c>
      <c r="S13" s="13">
        <f t="shared" ca="1" si="2"/>
        <v>2.0770746924119732</v>
      </c>
      <c r="T13" s="13">
        <f t="shared" ca="1" si="3"/>
        <v>-0.55707469241197316</v>
      </c>
      <c r="U13" s="13">
        <f ca="1">INDEX(CONSOLIDATED!$H$6:$V$84,MATCH(Q13,CONSOLIDATED!$A$6:$A$84,0),MATCH(R13,CONSOLIDATED!$H$2:$V$2,0))</f>
        <v>1.52</v>
      </c>
      <c r="V13" s="13">
        <f ca="1">INDEX(CONSOLIDATED!$H$88:$V$166,MATCH(Q13,CONSOLIDATED!$A$88:$A$166,0),MATCH(R13,CONSOLIDATED!$H$2:$V$2,0))</f>
        <v>2.0770746924119732</v>
      </c>
      <c r="X13" s="3" t="str">
        <f t="shared" ca="1" si="17"/>
        <v>Towong (S)</v>
      </c>
      <c r="Y13" s="3" t="str">
        <v>2022-23</v>
      </c>
      <c r="Z13" s="13">
        <f t="shared" ca="1" si="4"/>
        <v>5.8872533409253256</v>
      </c>
      <c r="AA13" s="13">
        <f t="shared" ca="1" si="5"/>
        <v>-5.0872533409253258</v>
      </c>
      <c r="AB13" s="13">
        <f ca="1">INDEX(CONSOLIDATED!$H$6:$V$84,MATCH(X13,CONSOLIDATED!$A$6:$A$84,0),MATCH(Y13,CONSOLIDATED!$H$2:$V$2,0))</f>
        <v>0.8</v>
      </c>
      <c r="AC13" s="13">
        <f ca="1">INDEX(CONSOLIDATED!$H$88:$V$166,MATCH(X13,CONSOLIDATED!$A$88:$A$166,0),MATCH(Y13,CONSOLIDATED!$H$2:$V$2,0))</f>
        <v>5.8872533409253256</v>
      </c>
      <c r="AE13" s="3" t="str">
        <f t="shared" ca="1" si="18"/>
        <v>Wangaratta (RC)</v>
      </c>
      <c r="AF13" s="3" t="str">
        <v>2022-23</v>
      </c>
      <c r="AG13" s="13">
        <f t="shared" ca="1" si="6"/>
        <v>2.7786117257199376</v>
      </c>
      <c r="AH13" s="13">
        <f t="shared" ca="1" si="7"/>
        <v>-2.8611725719937642E-2</v>
      </c>
      <c r="AI13" s="13">
        <f ca="1">INDEX(CONSOLIDATED!$H$6:$V$84,MATCH(AE13,CONSOLIDATED!$A$6:$A$84,0),MATCH(AF13,CONSOLIDATED!$H$2:$V$2,0))</f>
        <v>2.75</v>
      </c>
      <c r="AJ13" s="13">
        <f ca="1">INDEX(CONSOLIDATED!$H$88:$V$166,MATCH(AE13,CONSOLIDATED!$A$88:$A$166,0),MATCH(AF13,CONSOLIDATED!$H$2:$V$2,0))</f>
        <v>2.7786117257199376</v>
      </c>
      <c r="AL13" s="3" t="str">
        <f t="shared" si="19"/>
        <v/>
      </c>
      <c r="AM13" s="3" t="str">
        <v>2022-23</v>
      </c>
      <c r="AN13" s="13" t="e">
        <f t="shared" si="8"/>
        <v>#N/A</v>
      </c>
      <c r="AO13" s="13" t="e">
        <f t="shared" si="9"/>
        <v>#N/A</v>
      </c>
      <c r="AP13" s="13" t="e">
        <f>INDEX(CONSOLIDATED!$H$6:$V$84,MATCH(AL13,CONSOLIDATED!$A$6:$A$84,0),MATCH(AM13,CONSOLIDATED!$H$2:$V$2,0))</f>
        <v>#N/A</v>
      </c>
      <c r="AQ13" s="13" t="e">
        <f>INDEX(CONSOLIDATED!$H$88:$V$166,MATCH(AL13,CONSOLIDATED!$A$88:$A$166,0),MATCH(AM13,CONSOLIDATED!$H$2:$V$2,0))</f>
        <v>#N/A</v>
      </c>
      <c r="AS13" s="3" t="str">
        <f t="shared" si="20"/>
        <v/>
      </c>
      <c r="AT13" s="3" t="str">
        <v>2022-23</v>
      </c>
      <c r="AU13" s="13" t="e">
        <f t="shared" si="10"/>
        <v>#N/A</v>
      </c>
      <c r="AV13" s="13" t="e">
        <f t="shared" si="11"/>
        <v>#N/A</v>
      </c>
      <c r="AW13" s="13" t="e">
        <f>INDEX(CONSOLIDATED!$H$6:$V$84,MATCH(AS13,CONSOLIDATED!$A$6:$A$84,0),MATCH(AT13,CONSOLIDATED!$H$2:$V$2,0))</f>
        <v>#N/A</v>
      </c>
      <c r="AX13" s="13" t="e">
        <f>INDEX(CONSOLIDATED!$H$88:$V$166,MATCH(AS13,CONSOLIDATED!$A$88:$A$166,0),MATCH(AT13,CONSOLIDATED!$H$2:$V$2,0))</f>
        <v>#N/A</v>
      </c>
    </row>
    <row r="14" spans="1:50" ht="16.5" x14ac:dyDescent="0.3">
      <c r="C14" s="3" t="str">
        <f t="shared" si="12"/>
        <v>Alpine (S)</v>
      </c>
      <c r="D14" s="3" t="str">
        <v>2023-24</v>
      </c>
      <c r="E14" s="13">
        <f t="shared" ca="1" si="13"/>
        <v>1.6334328411326227</v>
      </c>
      <c r="F14" s="13">
        <f t="shared" ca="1" si="14"/>
        <v>-0.43343284113262248</v>
      </c>
      <c r="G14" s="13">
        <f ca="1"/>
        <v>1.2000000000000002</v>
      </c>
      <c r="H14" s="13">
        <f ca="1"/>
        <v>1.6334328411326227</v>
      </c>
      <c r="I14" s="13"/>
      <c r="J14" s="3" t="str">
        <f t="shared" ca="1" si="15"/>
        <v>East Gippsland (S)</v>
      </c>
      <c r="K14" s="3" t="str">
        <v>2023-24</v>
      </c>
      <c r="L14" s="13">
        <f t="shared" ca="1" si="0"/>
        <v>7.9692675556208705</v>
      </c>
      <c r="M14" s="13">
        <f t="shared" ca="1" si="1"/>
        <v>-1.7692675556208703</v>
      </c>
      <c r="N14" s="13">
        <f ca="1">INDEX(CONSOLIDATED!$H$6:$V$84,MATCH(J14,CONSOLIDATED!$A$6:$A$84,0),MATCH(K14,CONSOLIDATED!$H$2:$V$2,0))</f>
        <v>6.2</v>
      </c>
      <c r="O14" s="13">
        <f ca="1">INDEX(CONSOLIDATED!$H$88:$V$166,MATCH(J14,CONSOLIDATED!$A$88:$A$166,0),MATCH(K14,CONSOLIDATED!$H$2:$V$2,0))</f>
        <v>7.9692675556208705</v>
      </c>
      <c r="Q14" s="3" t="str">
        <f t="shared" ca="1" si="16"/>
        <v>Indigo (S)</v>
      </c>
      <c r="R14" s="3" t="str">
        <v>2023-24</v>
      </c>
      <c r="S14" s="13">
        <f t="shared" ca="1" si="2"/>
        <v>2.0917703332974034</v>
      </c>
      <c r="T14" s="13">
        <f t="shared" ca="1" si="3"/>
        <v>-0.57177033329740334</v>
      </c>
      <c r="U14" s="13">
        <f ca="1">INDEX(CONSOLIDATED!$H$6:$V$84,MATCH(Q14,CONSOLIDATED!$A$6:$A$84,0),MATCH(R14,CONSOLIDATED!$H$2:$V$2,0))</f>
        <v>1.52</v>
      </c>
      <c r="V14" s="13">
        <f ca="1">INDEX(CONSOLIDATED!$H$88:$V$166,MATCH(Q14,CONSOLIDATED!$A$88:$A$166,0),MATCH(R14,CONSOLIDATED!$H$2:$V$2,0))</f>
        <v>2.0917703332974034</v>
      </c>
      <c r="X14" s="3" t="str">
        <f t="shared" ca="1" si="17"/>
        <v>Towong (S)</v>
      </c>
      <c r="Y14" s="3" t="str">
        <v>2023-24</v>
      </c>
      <c r="Z14" s="13">
        <f t="shared" ca="1" si="4"/>
        <v>5.854422145258865</v>
      </c>
      <c r="AA14" s="13">
        <f t="shared" ca="1" si="5"/>
        <v>-5.0544221452588651</v>
      </c>
      <c r="AB14" s="13">
        <f ca="1">INDEX(CONSOLIDATED!$H$6:$V$84,MATCH(X14,CONSOLIDATED!$A$6:$A$84,0),MATCH(Y14,CONSOLIDATED!$H$2:$V$2,0))</f>
        <v>0.8</v>
      </c>
      <c r="AC14" s="13">
        <f ca="1">INDEX(CONSOLIDATED!$H$88:$V$166,MATCH(X14,CONSOLIDATED!$A$88:$A$166,0),MATCH(Y14,CONSOLIDATED!$H$2:$V$2,0))</f>
        <v>5.854422145258865</v>
      </c>
      <c r="AE14" s="3" t="str">
        <f t="shared" ca="1" si="18"/>
        <v>Wangaratta (RC)</v>
      </c>
      <c r="AF14" s="3" t="str">
        <v>2023-24</v>
      </c>
      <c r="AG14" s="13">
        <f t="shared" ca="1" si="6"/>
        <v>2.795225605737031</v>
      </c>
      <c r="AH14" s="13">
        <f t="shared" ca="1" si="7"/>
        <v>-4.5225605737031049E-2</v>
      </c>
      <c r="AI14" s="13">
        <f ca="1">INDEX(CONSOLIDATED!$H$6:$V$84,MATCH(AE14,CONSOLIDATED!$A$6:$A$84,0),MATCH(AF14,CONSOLIDATED!$H$2:$V$2,0))</f>
        <v>2.75</v>
      </c>
      <c r="AJ14" s="13">
        <f ca="1">INDEX(CONSOLIDATED!$H$88:$V$166,MATCH(AE14,CONSOLIDATED!$A$88:$A$166,0),MATCH(AF14,CONSOLIDATED!$H$2:$V$2,0))</f>
        <v>2.795225605737031</v>
      </c>
      <c r="AL14" s="3" t="str">
        <f t="shared" si="19"/>
        <v/>
      </c>
      <c r="AM14" s="3" t="str">
        <v>2023-24</v>
      </c>
      <c r="AN14" s="13" t="e">
        <f t="shared" si="8"/>
        <v>#N/A</v>
      </c>
      <c r="AO14" s="13" t="e">
        <f t="shared" si="9"/>
        <v>#N/A</v>
      </c>
      <c r="AP14" s="13" t="e">
        <f>INDEX(CONSOLIDATED!$H$6:$V$84,MATCH(AL14,CONSOLIDATED!$A$6:$A$84,0),MATCH(AM14,CONSOLIDATED!$H$2:$V$2,0))</f>
        <v>#N/A</v>
      </c>
      <c r="AQ14" s="13" t="e">
        <f>INDEX(CONSOLIDATED!$H$88:$V$166,MATCH(AL14,CONSOLIDATED!$A$88:$A$166,0),MATCH(AM14,CONSOLIDATED!$H$2:$V$2,0))</f>
        <v>#N/A</v>
      </c>
      <c r="AS14" s="3" t="str">
        <f t="shared" si="20"/>
        <v/>
      </c>
      <c r="AT14" s="3" t="str">
        <v>2023-24</v>
      </c>
      <c r="AU14" s="13" t="e">
        <f t="shared" si="10"/>
        <v>#N/A</v>
      </c>
      <c r="AV14" s="13" t="e">
        <f t="shared" si="11"/>
        <v>#N/A</v>
      </c>
      <c r="AW14" s="13" t="e">
        <f>INDEX(CONSOLIDATED!$H$6:$V$84,MATCH(AS14,CONSOLIDATED!$A$6:$A$84,0),MATCH(AT14,CONSOLIDATED!$H$2:$V$2,0))</f>
        <v>#N/A</v>
      </c>
      <c r="AX14" s="13" t="e">
        <f>INDEX(CONSOLIDATED!$H$88:$V$166,MATCH(AS14,CONSOLIDATED!$A$88:$A$166,0),MATCH(AT14,CONSOLIDATED!$H$2:$V$2,0))</f>
        <v>#N/A</v>
      </c>
    </row>
    <row r="15" spans="1:50" ht="16.5" x14ac:dyDescent="0.3">
      <c r="C15" s="3" t="str">
        <f t="shared" si="12"/>
        <v>Alpine (S)</v>
      </c>
      <c r="D15" s="3" t="str">
        <v>2024-25</v>
      </c>
      <c r="E15" s="13">
        <f t="shared" ca="1" si="13"/>
        <v>1.6345259881975656</v>
      </c>
      <c r="F15" s="13">
        <f t="shared" ca="1" si="14"/>
        <v>-0.43452598819756538</v>
      </c>
      <c r="G15" s="13">
        <f ca="1"/>
        <v>1.2000000000000002</v>
      </c>
      <c r="H15" s="13">
        <f ca="1"/>
        <v>1.6345259881975656</v>
      </c>
      <c r="I15" s="13"/>
      <c r="J15" s="3" t="str">
        <f t="shared" ca="1" si="15"/>
        <v>East Gippsland (S)</v>
      </c>
      <c r="K15" s="3" t="str">
        <v>2024-25</v>
      </c>
      <c r="L15" s="13">
        <f t="shared" ca="1" si="0"/>
        <v>8.0585564228926518</v>
      </c>
      <c r="M15" s="13">
        <f t="shared" ca="1" si="1"/>
        <v>-1.8585564228926517</v>
      </c>
      <c r="N15" s="13">
        <f ca="1">INDEX(CONSOLIDATED!$H$6:$V$84,MATCH(J15,CONSOLIDATED!$A$6:$A$84,0),MATCH(K15,CONSOLIDATED!$H$2:$V$2,0))</f>
        <v>6.2</v>
      </c>
      <c r="O15" s="13">
        <f ca="1">INDEX(CONSOLIDATED!$H$88:$V$166,MATCH(J15,CONSOLIDATED!$A$88:$A$166,0),MATCH(K15,CONSOLIDATED!$H$2:$V$2,0))</f>
        <v>8.0585564228926518</v>
      </c>
      <c r="Q15" s="3" t="str">
        <f t="shared" ca="1" si="16"/>
        <v>Indigo (S)</v>
      </c>
      <c r="R15" s="3" t="str">
        <v>2024-25</v>
      </c>
      <c r="S15" s="13">
        <f t="shared" ca="1" si="2"/>
        <v>2.0987827147853695</v>
      </c>
      <c r="T15" s="13">
        <f t="shared" ca="1" si="3"/>
        <v>-0.57878271478536947</v>
      </c>
      <c r="U15" s="13">
        <f ca="1">INDEX(CONSOLIDATED!$H$6:$V$84,MATCH(Q15,CONSOLIDATED!$A$6:$A$84,0),MATCH(R15,CONSOLIDATED!$H$2:$V$2,0))</f>
        <v>1.52</v>
      </c>
      <c r="V15" s="13">
        <f ca="1">INDEX(CONSOLIDATED!$H$88:$V$166,MATCH(Q15,CONSOLIDATED!$A$88:$A$166,0),MATCH(R15,CONSOLIDATED!$H$2:$V$2,0))</f>
        <v>2.0987827147853695</v>
      </c>
      <c r="X15" s="3" t="str">
        <f t="shared" ca="1" si="17"/>
        <v>Towong (S)</v>
      </c>
      <c r="Y15" s="3" t="str">
        <v>2024-25</v>
      </c>
      <c r="Z15" s="13">
        <f t="shared" ca="1" si="4"/>
        <v>5.8368622381615758</v>
      </c>
      <c r="AA15" s="13">
        <f t="shared" ca="1" si="5"/>
        <v>-5.036862238161576</v>
      </c>
      <c r="AB15" s="13">
        <f ca="1">INDEX(CONSOLIDATED!$H$6:$V$84,MATCH(X15,CONSOLIDATED!$A$6:$A$84,0),MATCH(Y15,CONSOLIDATED!$H$2:$V$2,0))</f>
        <v>0.8</v>
      </c>
      <c r="AC15" s="13">
        <f ca="1">INDEX(CONSOLIDATED!$H$88:$V$166,MATCH(X15,CONSOLIDATED!$A$88:$A$166,0),MATCH(Y15,CONSOLIDATED!$H$2:$V$2,0))</f>
        <v>5.8368622381615758</v>
      </c>
      <c r="AE15" s="3" t="str">
        <f t="shared" ca="1" si="18"/>
        <v>Wangaratta (RC)</v>
      </c>
      <c r="AF15" s="3" t="str">
        <v>2024-25</v>
      </c>
      <c r="AG15" s="13">
        <f t="shared" ca="1" si="6"/>
        <v>2.8001055066132627</v>
      </c>
      <c r="AH15" s="13">
        <f t="shared" ca="1" si="7"/>
        <v>-5.010550661326274E-2</v>
      </c>
      <c r="AI15" s="13">
        <f ca="1">INDEX(CONSOLIDATED!$H$6:$V$84,MATCH(AE15,CONSOLIDATED!$A$6:$A$84,0),MATCH(AF15,CONSOLIDATED!$H$2:$V$2,0))</f>
        <v>2.75</v>
      </c>
      <c r="AJ15" s="13">
        <f ca="1">INDEX(CONSOLIDATED!$H$88:$V$166,MATCH(AE15,CONSOLIDATED!$A$88:$A$166,0),MATCH(AF15,CONSOLIDATED!$H$2:$V$2,0))</f>
        <v>2.8001055066132627</v>
      </c>
      <c r="AL15" s="3" t="str">
        <f t="shared" si="19"/>
        <v/>
      </c>
      <c r="AM15" s="3" t="str">
        <v>2024-25</v>
      </c>
      <c r="AN15" s="13" t="e">
        <f t="shared" si="8"/>
        <v>#N/A</v>
      </c>
      <c r="AO15" s="13" t="e">
        <f t="shared" si="9"/>
        <v>#N/A</v>
      </c>
      <c r="AP15" s="13" t="e">
        <f>INDEX(CONSOLIDATED!$H$6:$V$84,MATCH(AL15,CONSOLIDATED!$A$6:$A$84,0),MATCH(AM15,CONSOLIDATED!$H$2:$V$2,0))</f>
        <v>#N/A</v>
      </c>
      <c r="AQ15" s="13" t="e">
        <f>INDEX(CONSOLIDATED!$H$88:$V$166,MATCH(AL15,CONSOLIDATED!$A$88:$A$166,0),MATCH(AM15,CONSOLIDATED!$H$2:$V$2,0))</f>
        <v>#N/A</v>
      </c>
      <c r="AS15" s="3" t="str">
        <f t="shared" si="20"/>
        <v/>
      </c>
      <c r="AT15" s="3" t="str">
        <v>2024-25</v>
      </c>
      <c r="AU15" s="13" t="e">
        <f t="shared" si="10"/>
        <v>#N/A</v>
      </c>
      <c r="AV15" s="13" t="e">
        <f t="shared" si="11"/>
        <v>#N/A</v>
      </c>
      <c r="AW15" s="13" t="e">
        <f>INDEX(CONSOLIDATED!$H$6:$V$84,MATCH(AS15,CONSOLIDATED!$A$6:$A$84,0),MATCH(AT15,CONSOLIDATED!$H$2:$V$2,0))</f>
        <v>#N/A</v>
      </c>
      <c r="AX15" s="13" t="e">
        <f>INDEX(CONSOLIDATED!$H$88:$V$166,MATCH(AS15,CONSOLIDATED!$A$88:$A$166,0),MATCH(AT15,CONSOLIDATED!$H$2:$V$2,0))</f>
        <v>#N/A</v>
      </c>
    </row>
    <row r="16" spans="1:50" ht="16.5" x14ac:dyDescent="0.3">
      <c r="C16" s="3" t="str">
        <f t="shared" si="12"/>
        <v>Alpine (S)</v>
      </c>
      <c r="D16" s="3" t="str">
        <v>2025-26</v>
      </c>
      <c r="E16" s="13">
        <f t="shared" ca="1" si="13"/>
        <v>1.6361144481402619</v>
      </c>
      <c r="F16" s="13">
        <f t="shared" ca="1" si="14"/>
        <v>-0.43611444814026168</v>
      </c>
      <c r="G16" s="13">
        <f ca="1"/>
        <v>1.2000000000000002</v>
      </c>
      <c r="H16" s="13">
        <f ca="1"/>
        <v>1.6361144481402619</v>
      </c>
      <c r="I16" s="13"/>
      <c r="J16" s="3" t="str">
        <f t="shared" ca="1" si="15"/>
        <v>East Gippsland (S)</v>
      </c>
      <c r="K16" s="3" t="str">
        <v>2025-26</v>
      </c>
      <c r="L16" s="13">
        <f t="shared" ca="1" si="0"/>
        <v>8.1463639302045454</v>
      </c>
      <c r="M16" s="13">
        <f t="shared" ca="1" si="1"/>
        <v>-1.9463639302045452</v>
      </c>
      <c r="N16" s="13">
        <f ca="1">INDEX(CONSOLIDATED!$H$6:$V$84,MATCH(J16,CONSOLIDATED!$A$6:$A$84,0),MATCH(K16,CONSOLIDATED!$H$2:$V$2,0))</f>
        <v>6.2</v>
      </c>
      <c r="O16" s="13">
        <f ca="1">INDEX(CONSOLIDATED!$H$88:$V$166,MATCH(J16,CONSOLIDATED!$A$88:$A$166,0),MATCH(K16,CONSOLIDATED!$H$2:$V$2,0))</f>
        <v>8.1463639302045454</v>
      </c>
      <c r="Q16" s="3" t="str">
        <f t="shared" ca="1" si="16"/>
        <v>Indigo (S)</v>
      </c>
      <c r="R16" s="3" t="str">
        <v>2025-26</v>
      </c>
      <c r="S16" s="13">
        <f t="shared" ca="1" si="2"/>
        <v>2.1063004960121039</v>
      </c>
      <c r="T16" s="13">
        <f t="shared" ca="1" si="3"/>
        <v>-0.58630049601210388</v>
      </c>
      <c r="U16" s="13">
        <f ca="1">INDEX(CONSOLIDATED!$H$6:$V$84,MATCH(Q16,CONSOLIDATED!$A$6:$A$84,0),MATCH(R16,CONSOLIDATED!$H$2:$V$2,0))</f>
        <v>1.52</v>
      </c>
      <c r="V16" s="13">
        <f ca="1">INDEX(CONSOLIDATED!$H$88:$V$166,MATCH(Q16,CONSOLIDATED!$A$88:$A$166,0),MATCH(R16,CONSOLIDATED!$H$2:$V$2,0))</f>
        <v>2.1063004960121039</v>
      </c>
      <c r="X16" s="3" t="str">
        <f t="shared" ca="1" si="17"/>
        <v>Towong (S)</v>
      </c>
      <c r="Y16" s="3" t="str">
        <v>2025-26</v>
      </c>
      <c r="Z16" s="13">
        <f t="shared" ca="1" si="4"/>
        <v>5.8203078125433665</v>
      </c>
      <c r="AA16" s="13">
        <f t="shared" ca="1" si="5"/>
        <v>-5.0203078125433667</v>
      </c>
      <c r="AB16" s="13">
        <f ca="1">INDEX(CONSOLIDATED!$H$6:$V$84,MATCH(X16,CONSOLIDATED!$A$6:$A$84,0),MATCH(Y16,CONSOLIDATED!$H$2:$V$2,0))</f>
        <v>0.8</v>
      </c>
      <c r="AC16" s="13">
        <f ca="1">INDEX(CONSOLIDATED!$H$88:$V$166,MATCH(X16,CONSOLIDATED!$A$88:$A$166,0),MATCH(Y16,CONSOLIDATED!$H$2:$V$2,0))</f>
        <v>5.8203078125433665</v>
      </c>
      <c r="AE16" s="3" t="str">
        <f t="shared" ca="1" si="18"/>
        <v>Wangaratta (RC)</v>
      </c>
      <c r="AF16" s="3" t="str">
        <v>2025-26</v>
      </c>
      <c r="AG16" s="13">
        <f t="shared" ca="1" si="6"/>
        <v>2.8054666970827746</v>
      </c>
      <c r="AH16" s="13">
        <f t="shared" ca="1" si="7"/>
        <v>-5.546669708277463E-2</v>
      </c>
      <c r="AI16" s="13">
        <f ca="1">INDEX(CONSOLIDATED!$H$6:$V$84,MATCH(AE16,CONSOLIDATED!$A$6:$A$84,0),MATCH(AF16,CONSOLIDATED!$H$2:$V$2,0))</f>
        <v>2.75</v>
      </c>
      <c r="AJ16" s="13">
        <f ca="1">INDEX(CONSOLIDATED!$H$88:$V$166,MATCH(AE16,CONSOLIDATED!$A$88:$A$166,0),MATCH(AF16,CONSOLIDATED!$H$2:$V$2,0))</f>
        <v>2.8054666970827746</v>
      </c>
      <c r="AL16" s="3" t="str">
        <f t="shared" si="19"/>
        <v/>
      </c>
      <c r="AM16" s="3" t="str">
        <v>2025-26</v>
      </c>
      <c r="AN16" s="13" t="e">
        <f t="shared" si="8"/>
        <v>#N/A</v>
      </c>
      <c r="AO16" s="13" t="e">
        <f t="shared" si="9"/>
        <v>#N/A</v>
      </c>
      <c r="AP16" s="13" t="e">
        <f>INDEX(CONSOLIDATED!$H$6:$V$84,MATCH(AL16,CONSOLIDATED!$A$6:$A$84,0),MATCH(AM16,CONSOLIDATED!$H$2:$V$2,0))</f>
        <v>#N/A</v>
      </c>
      <c r="AQ16" s="13" t="e">
        <f>INDEX(CONSOLIDATED!$H$88:$V$166,MATCH(AL16,CONSOLIDATED!$A$88:$A$166,0),MATCH(AM16,CONSOLIDATED!$H$2:$V$2,0))</f>
        <v>#N/A</v>
      </c>
      <c r="AS16" s="3" t="str">
        <f t="shared" si="20"/>
        <v/>
      </c>
      <c r="AT16" s="3" t="str">
        <v>2025-26</v>
      </c>
      <c r="AU16" s="13" t="e">
        <f t="shared" si="10"/>
        <v>#N/A</v>
      </c>
      <c r="AV16" s="13" t="e">
        <f t="shared" si="11"/>
        <v>#N/A</v>
      </c>
      <c r="AW16" s="13" t="e">
        <f>INDEX(CONSOLIDATED!$H$6:$V$84,MATCH(AS16,CONSOLIDATED!$A$6:$A$84,0),MATCH(AT16,CONSOLIDATED!$H$2:$V$2,0))</f>
        <v>#N/A</v>
      </c>
      <c r="AX16" s="13" t="e">
        <f>INDEX(CONSOLIDATED!$H$88:$V$166,MATCH(AS16,CONSOLIDATED!$A$88:$A$166,0),MATCH(AT16,CONSOLIDATED!$H$2:$V$2,0))</f>
        <v>#N/A</v>
      </c>
    </row>
    <row r="17" spans="3:50" ht="16.5" x14ac:dyDescent="0.3">
      <c r="C17" s="3" t="str">
        <f t="shared" si="12"/>
        <v>Alpine (S)</v>
      </c>
      <c r="D17" s="3" t="str">
        <v>2026-27</v>
      </c>
      <c r="E17" s="13">
        <f t="shared" ca="1" si="13"/>
        <v>1.6378751660143116</v>
      </c>
      <c r="F17" s="13">
        <f t="shared" ca="1" si="14"/>
        <v>-0.43787516601431142</v>
      </c>
      <c r="G17" s="13">
        <f ca="1"/>
        <v>1.2000000000000002</v>
      </c>
      <c r="H17" s="13">
        <f ca="1"/>
        <v>1.6378751660143116</v>
      </c>
      <c r="I17" s="13"/>
      <c r="J17" s="3" t="str">
        <f t="shared" ca="1" si="15"/>
        <v>East Gippsland (S)</v>
      </c>
      <c r="K17" s="3" t="str">
        <v>2026-27</v>
      </c>
      <c r="L17" s="13">
        <f t="shared" ca="1" si="0"/>
        <v>8.2329709115896534</v>
      </c>
      <c r="M17" s="13">
        <f t="shared" ca="1" si="1"/>
        <v>-2.0329709115896533</v>
      </c>
      <c r="N17" s="13">
        <f ca="1">INDEX(CONSOLIDATED!$H$6:$V$84,MATCH(J17,CONSOLIDATED!$A$6:$A$84,0),MATCH(K17,CONSOLIDATED!$H$2:$V$2,0))</f>
        <v>6.2</v>
      </c>
      <c r="O17" s="13">
        <f ca="1">INDEX(CONSOLIDATED!$H$88:$V$166,MATCH(J17,CONSOLIDATED!$A$88:$A$166,0),MATCH(K17,CONSOLIDATED!$H$2:$V$2,0))</f>
        <v>8.2329709115896534</v>
      </c>
      <c r="Q17" s="3" t="str">
        <f t="shared" ca="1" si="16"/>
        <v>Indigo (S)</v>
      </c>
      <c r="R17" s="3" t="str">
        <v>2026-27</v>
      </c>
      <c r="S17" s="13">
        <f t="shared" ca="1" si="2"/>
        <v>2.1142018508664133</v>
      </c>
      <c r="T17" s="13">
        <f t="shared" ca="1" si="3"/>
        <v>-0.59420185086641331</v>
      </c>
      <c r="U17" s="13">
        <f ca="1">INDEX(CONSOLIDATED!$H$6:$V$84,MATCH(Q17,CONSOLIDATED!$A$6:$A$84,0),MATCH(R17,CONSOLIDATED!$H$2:$V$2,0))</f>
        <v>1.52</v>
      </c>
      <c r="V17" s="13">
        <f ca="1">INDEX(CONSOLIDATED!$H$88:$V$166,MATCH(Q17,CONSOLIDATED!$A$88:$A$166,0),MATCH(R17,CONSOLIDATED!$H$2:$V$2,0))</f>
        <v>2.1142018508664133</v>
      </c>
      <c r="X17" s="3" t="str">
        <f t="shared" ca="1" si="17"/>
        <v>Towong (S)</v>
      </c>
      <c r="Y17" s="3" t="str">
        <v>2026-27</v>
      </c>
      <c r="Z17" s="13">
        <f t="shared" ca="1" si="4"/>
        <v>5.8042265581321537</v>
      </c>
      <c r="AA17" s="13">
        <f t="shared" ca="1" si="5"/>
        <v>-5.0042265581321539</v>
      </c>
      <c r="AB17" s="13">
        <f ca="1">INDEX(CONSOLIDATED!$H$6:$V$84,MATCH(X17,CONSOLIDATED!$A$6:$A$84,0),MATCH(Y17,CONSOLIDATED!$H$2:$V$2,0))</f>
        <v>0.8</v>
      </c>
      <c r="AC17" s="13">
        <f ca="1">INDEX(CONSOLIDATED!$H$88:$V$166,MATCH(X17,CONSOLIDATED!$A$88:$A$166,0),MATCH(Y17,CONSOLIDATED!$H$2:$V$2,0))</f>
        <v>5.8042265581321537</v>
      </c>
      <c r="AE17" s="3" t="str">
        <f t="shared" ca="1" si="18"/>
        <v>Wangaratta (RC)</v>
      </c>
      <c r="AF17" s="3" t="str">
        <v>2026-27</v>
      </c>
      <c r="AG17" s="13">
        <f t="shared" ca="1" si="6"/>
        <v>2.8110477769988984</v>
      </c>
      <c r="AH17" s="13">
        <f t="shared" ca="1" si="7"/>
        <v>-6.1047776998898406E-2</v>
      </c>
      <c r="AI17" s="13">
        <f ca="1">INDEX(CONSOLIDATED!$H$6:$V$84,MATCH(AE17,CONSOLIDATED!$A$6:$A$84,0),MATCH(AF17,CONSOLIDATED!$H$2:$V$2,0))</f>
        <v>2.75</v>
      </c>
      <c r="AJ17" s="13">
        <f ca="1">INDEX(CONSOLIDATED!$H$88:$V$166,MATCH(AE17,CONSOLIDATED!$A$88:$A$166,0),MATCH(AF17,CONSOLIDATED!$H$2:$V$2,0))</f>
        <v>2.8110477769988984</v>
      </c>
      <c r="AL17" s="3" t="str">
        <f t="shared" si="19"/>
        <v/>
      </c>
      <c r="AM17" s="3" t="str">
        <v>2026-27</v>
      </c>
      <c r="AN17" s="13" t="e">
        <f t="shared" si="8"/>
        <v>#N/A</v>
      </c>
      <c r="AO17" s="13" t="e">
        <f t="shared" si="9"/>
        <v>#N/A</v>
      </c>
      <c r="AP17" s="13" t="e">
        <f>INDEX(CONSOLIDATED!$H$6:$V$84,MATCH(AL17,CONSOLIDATED!$A$6:$A$84,0),MATCH(AM17,CONSOLIDATED!$H$2:$V$2,0))</f>
        <v>#N/A</v>
      </c>
      <c r="AQ17" s="13" t="e">
        <f>INDEX(CONSOLIDATED!$H$88:$V$166,MATCH(AL17,CONSOLIDATED!$A$88:$A$166,0),MATCH(AM17,CONSOLIDATED!$H$2:$V$2,0))</f>
        <v>#N/A</v>
      </c>
      <c r="AS17" s="3" t="str">
        <f t="shared" si="20"/>
        <v/>
      </c>
      <c r="AT17" s="3" t="str">
        <v>2026-27</v>
      </c>
      <c r="AU17" s="13" t="e">
        <f t="shared" si="10"/>
        <v>#N/A</v>
      </c>
      <c r="AV17" s="13" t="e">
        <f t="shared" si="11"/>
        <v>#N/A</v>
      </c>
      <c r="AW17" s="13" t="e">
        <f>INDEX(CONSOLIDATED!$H$6:$V$84,MATCH(AS17,CONSOLIDATED!$A$6:$A$84,0),MATCH(AT17,CONSOLIDATED!$H$2:$V$2,0))</f>
        <v>#N/A</v>
      </c>
      <c r="AX17" s="13" t="e">
        <f>INDEX(CONSOLIDATED!$H$88:$V$166,MATCH(AS17,CONSOLIDATED!$A$88:$A$166,0),MATCH(AT17,CONSOLIDATED!$H$2:$V$2,0))</f>
        <v>#N/A</v>
      </c>
    </row>
    <row r="18" spans="3:50" ht="16.5" x14ac:dyDescent="0.3">
      <c r="C18" s="3" t="str">
        <f t="shared" si="12"/>
        <v>Alpine (S)</v>
      </c>
      <c r="D18" s="3" t="str">
        <v>2027-28</v>
      </c>
      <c r="E18" s="13">
        <f t="shared" ca="1" si="13"/>
        <v>1.639714753422856</v>
      </c>
      <c r="F18" s="13">
        <f t="shared" ca="1" si="14"/>
        <v>-0.43971475342285582</v>
      </c>
      <c r="G18" s="13">
        <f ca="1"/>
        <v>1.2000000000000002</v>
      </c>
      <c r="H18" s="13">
        <f ca="1"/>
        <v>1.639714753422856</v>
      </c>
      <c r="I18" s="13"/>
      <c r="J18" s="3" t="str">
        <f t="shared" ca="1" si="15"/>
        <v>East Gippsland (S)</v>
      </c>
      <c r="K18" s="3" t="str">
        <v>2027-28</v>
      </c>
      <c r="L18" s="13">
        <f t="shared" ca="1" si="0"/>
        <v>8.3181765356731585</v>
      </c>
      <c r="M18" s="13">
        <f t="shared" ca="1" si="1"/>
        <v>-2.1181765356731583</v>
      </c>
      <c r="N18" s="13">
        <f ca="1">INDEX(CONSOLIDATED!$H$6:$V$84,MATCH(J18,CONSOLIDATED!$A$6:$A$84,0),MATCH(K18,CONSOLIDATED!$H$2:$V$2,0))</f>
        <v>6.2</v>
      </c>
      <c r="O18" s="13">
        <f ca="1">INDEX(CONSOLIDATED!$H$88:$V$166,MATCH(J18,CONSOLIDATED!$A$88:$A$166,0),MATCH(K18,CONSOLIDATED!$H$2:$V$2,0))</f>
        <v>8.3181765356731585</v>
      </c>
      <c r="Q18" s="3" t="str">
        <f t="shared" ca="1" si="16"/>
        <v>Indigo (S)</v>
      </c>
      <c r="R18" s="3" t="str">
        <v>2027-28</v>
      </c>
      <c r="S18" s="13">
        <f t="shared" ca="1" si="2"/>
        <v>2.1224576726940834</v>
      </c>
      <c r="T18" s="13">
        <f t="shared" ca="1" si="3"/>
        <v>-0.60245767269408335</v>
      </c>
      <c r="U18" s="13">
        <f ca="1">INDEX(CONSOLIDATED!$H$6:$V$84,MATCH(Q18,CONSOLIDATED!$A$6:$A$84,0),MATCH(R18,CONSOLIDATED!$H$2:$V$2,0))</f>
        <v>1.52</v>
      </c>
      <c r="V18" s="13">
        <f ca="1">INDEX(CONSOLIDATED!$H$88:$V$166,MATCH(Q18,CONSOLIDATED!$A$88:$A$166,0),MATCH(R18,CONSOLIDATED!$H$2:$V$2,0))</f>
        <v>2.1224576726940834</v>
      </c>
      <c r="X18" s="3" t="str">
        <f t="shared" ca="1" si="17"/>
        <v>Towong (S)</v>
      </c>
      <c r="Y18" s="3" t="str">
        <v>2027-28</v>
      </c>
      <c r="Z18" s="13">
        <f t="shared" ca="1" si="4"/>
        <v>5.7884023684071</v>
      </c>
      <c r="AA18" s="13">
        <f t="shared" ca="1" si="5"/>
        <v>-4.9884023684071002</v>
      </c>
      <c r="AB18" s="13">
        <f ca="1">INDEX(CONSOLIDATED!$H$6:$V$84,MATCH(X18,CONSOLIDATED!$A$6:$A$84,0),MATCH(Y18,CONSOLIDATED!$H$2:$V$2,0))</f>
        <v>0.8</v>
      </c>
      <c r="AC18" s="13">
        <f ca="1">INDEX(CONSOLIDATED!$H$88:$V$166,MATCH(X18,CONSOLIDATED!$A$88:$A$166,0),MATCH(Y18,CONSOLIDATED!$H$2:$V$2,0))</f>
        <v>5.7884023684071</v>
      </c>
      <c r="AE18" s="3" t="str">
        <f t="shared" ca="1" si="18"/>
        <v>Wangaratta (RC)</v>
      </c>
      <c r="AF18" s="3" t="str">
        <v>2027-28</v>
      </c>
      <c r="AG18" s="13">
        <f t="shared" ca="1" si="6"/>
        <v>2.8168525144203223</v>
      </c>
      <c r="AH18" s="13">
        <f t="shared" ca="1" si="7"/>
        <v>-6.6852514420322251E-2</v>
      </c>
      <c r="AI18" s="13">
        <f ca="1">INDEX(CONSOLIDATED!$H$6:$V$84,MATCH(AE18,CONSOLIDATED!$A$6:$A$84,0),MATCH(AF18,CONSOLIDATED!$H$2:$V$2,0))</f>
        <v>2.75</v>
      </c>
      <c r="AJ18" s="13">
        <f ca="1">INDEX(CONSOLIDATED!$H$88:$V$166,MATCH(AE18,CONSOLIDATED!$A$88:$A$166,0),MATCH(AF18,CONSOLIDATED!$H$2:$V$2,0))</f>
        <v>2.8168525144203223</v>
      </c>
      <c r="AL18" s="3" t="str">
        <f t="shared" si="19"/>
        <v/>
      </c>
      <c r="AM18" s="3" t="str">
        <v>2027-28</v>
      </c>
      <c r="AN18" s="13" t="e">
        <f t="shared" si="8"/>
        <v>#N/A</v>
      </c>
      <c r="AO18" s="13" t="e">
        <f t="shared" si="9"/>
        <v>#N/A</v>
      </c>
      <c r="AP18" s="13" t="e">
        <f>INDEX(CONSOLIDATED!$H$6:$V$84,MATCH(AL18,CONSOLIDATED!$A$6:$A$84,0),MATCH(AM18,CONSOLIDATED!$H$2:$V$2,0))</f>
        <v>#N/A</v>
      </c>
      <c r="AQ18" s="13" t="e">
        <f>INDEX(CONSOLIDATED!$H$88:$V$166,MATCH(AL18,CONSOLIDATED!$A$88:$A$166,0),MATCH(AM18,CONSOLIDATED!$H$2:$V$2,0))</f>
        <v>#N/A</v>
      </c>
      <c r="AS18" s="3" t="str">
        <f t="shared" si="20"/>
        <v/>
      </c>
      <c r="AT18" s="3" t="str">
        <v>2027-28</v>
      </c>
      <c r="AU18" s="13" t="e">
        <f t="shared" si="10"/>
        <v>#N/A</v>
      </c>
      <c r="AV18" s="13" t="e">
        <f t="shared" si="11"/>
        <v>#N/A</v>
      </c>
      <c r="AW18" s="13" t="e">
        <f>INDEX(CONSOLIDATED!$H$6:$V$84,MATCH(AS18,CONSOLIDATED!$A$6:$A$84,0),MATCH(AT18,CONSOLIDATED!$H$2:$V$2,0))</f>
        <v>#N/A</v>
      </c>
      <c r="AX18" s="13" t="e">
        <f>INDEX(CONSOLIDATED!$H$88:$V$166,MATCH(AS18,CONSOLIDATED!$A$88:$A$166,0),MATCH(AT18,CONSOLIDATED!$H$2:$V$2,0))</f>
        <v>#N/A</v>
      </c>
    </row>
    <row r="19" spans="3:50" ht="16.5" x14ac:dyDescent="0.3">
      <c r="C19" s="3" t="str">
        <f t="shared" si="12"/>
        <v>Alpine (S)</v>
      </c>
      <c r="D19" s="3" t="str">
        <v>2028-29</v>
      </c>
      <c r="E19" s="13">
        <f t="shared" ca="1" si="13"/>
        <v>1.6416235284286687</v>
      </c>
      <c r="F19" s="13">
        <f t="shared" ca="1" si="14"/>
        <v>-0.44162352842866848</v>
      </c>
      <c r="G19" s="13">
        <f ca="1"/>
        <v>1.2000000000000002</v>
      </c>
      <c r="H19" s="13">
        <f ca="1"/>
        <v>1.6416235284286687</v>
      </c>
      <c r="I19" s="13"/>
      <c r="J19" s="3" t="str">
        <f t="shared" ca="1" si="15"/>
        <v>East Gippsland (S)</v>
      </c>
      <c r="K19" s="3" t="str">
        <v>2028-29</v>
      </c>
      <c r="L19" s="13">
        <f t="shared" ca="1" si="0"/>
        <v>8.4028380367103175</v>
      </c>
      <c r="M19" s="13">
        <f t="shared" ca="1" si="1"/>
        <v>-2.2028380367103173</v>
      </c>
      <c r="N19" s="13">
        <f ca="1">INDEX(CONSOLIDATED!$H$6:$V$84,MATCH(J19,CONSOLIDATED!$A$6:$A$84,0),MATCH(K19,CONSOLIDATED!$H$2:$V$2,0))</f>
        <v>6.2</v>
      </c>
      <c r="O19" s="13">
        <f ca="1">INDEX(CONSOLIDATED!$H$88:$V$166,MATCH(J19,CONSOLIDATED!$A$88:$A$166,0),MATCH(K19,CONSOLIDATED!$H$2:$V$2,0))</f>
        <v>8.4028380367103175</v>
      </c>
      <c r="Q19" s="3" t="str">
        <f t="shared" ca="1" si="16"/>
        <v>Indigo (S)</v>
      </c>
      <c r="R19" s="3" t="str">
        <v>2028-29</v>
      </c>
      <c r="S19" s="13">
        <f t="shared" ca="1" si="2"/>
        <v>2.1311788843596569</v>
      </c>
      <c r="T19" s="13">
        <f t="shared" ca="1" si="3"/>
        <v>-0.61117888435965684</v>
      </c>
      <c r="U19" s="13">
        <f ca="1">INDEX(CONSOLIDATED!$H$6:$V$84,MATCH(Q19,CONSOLIDATED!$A$6:$A$84,0),MATCH(R19,CONSOLIDATED!$H$2:$V$2,0))</f>
        <v>1.52</v>
      </c>
      <c r="V19" s="13">
        <f ca="1">INDEX(CONSOLIDATED!$H$88:$V$166,MATCH(Q19,CONSOLIDATED!$A$88:$A$166,0),MATCH(R19,CONSOLIDATED!$H$2:$V$2,0))</f>
        <v>2.1311788843596569</v>
      </c>
      <c r="X19" s="3" t="str">
        <f t="shared" ca="1" si="17"/>
        <v>Towong (S)</v>
      </c>
      <c r="Y19" s="3" t="str">
        <v>2028-29</v>
      </c>
      <c r="Z19" s="13">
        <f t="shared" ca="1" si="4"/>
        <v>5.772376592183095</v>
      </c>
      <c r="AA19" s="13">
        <f t="shared" ca="1" si="5"/>
        <v>-4.9723765921830951</v>
      </c>
      <c r="AB19" s="13">
        <f ca="1">INDEX(CONSOLIDATED!$H$6:$V$84,MATCH(X19,CONSOLIDATED!$A$6:$A$84,0),MATCH(Y19,CONSOLIDATED!$H$2:$V$2,0))</f>
        <v>0.8</v>
      </c>
      <c r="AC19" s="13">
        <f ca="1">INDEX(CONSOLIDATED!$H$88:$V$166,MATCH(X19,CONSOLIDATED!$A$88:$A$166,0),MATCH(Y19,CONSOLIDATED!$H$2:$V$2,0))</f>
        <v>5.772376592183095</v>
      </c>
      <c r="AE19" s="3" t="str">
        <f t="shared" ca="1" si="18"/>
        <v>Wangaratta (RC)</v>
      </c>
      <c r="AF19" s="3" t="str">
        <v>2028-29</v>
      </c>
      <c r="AG19" s="13">
        <f t="shared" ca="1" si="6"/>
        <v>2.8230194803194895</v>
      </c>
      <c r="AH19" s="13">
        <f t="shared" ca="1" si="7"/>
        <v>-7.301948031948946E-2</v>
      </c>
      <c r="AI19" s="13">
        <f ca="1">INDEX(CONSOLIDATED!$H$6:$V$84,MATCH(AE19,CONSOLIDATED!$A$6:$A$84,0),MATCH(AF19,CONSOLIDATED!$H$2:$V$2,0))</f>
        <v>2.75</v>
      </c>
      <c r="AJ19" s="13">
        <f ca="1">INDEX(CONSOLIDATED!$H$88:$V$166,MATCH(AE19,CONSOLIDATED!$A$88:$A$166,0),MATCH(AF19,CONSOLIDATED!$H$2:$V$2,0))</f>
        <v>2.8230194803194895</v>
      </c>
      <c r="AL19" s="3" t="str">
        <f t="shared" si="19"/>
        <v/>
      </c>
      <c r="AM19" s="3" t="str">
        <v>2028-29</v>
      </c>
      <c r="AN19" s="13" t="e">
        <f t="shared" si="8"/>
        <v>#N/A</v>
      </c>
      <c r="AO19" s="13" t="e">
        <f t="shared" si="9"/>
        <v>#N/A</v>
      </c>
      <c r="AP19" s="13" t="e">
        <f>INDEX(CONSOLIDATED!$H$6:$V$84,MATCH(AL19,CONSOLIDATED!$A$6:$A$84,0),MATCH(AM19,CONSOLIDATED!$H$2:$V$2,0))</f>
        <v>#N/A</v>
      </c>
      <c r="AQ19" s="13" t="e">
        <f>INDEX(CONSOLIDATED!$H$88:$V$166,MATCH(AL19,CONSOLIDATED!$A$88:$A$166,0),MATCH(AM19,CONSOLIDATED!$H$2:$V$2,0))</f>
        <v>#N/A</v>
      </c>
      <c r="AS19" s="3" t="str">
        <f t="shared" si="20"/>
        <v/>
      </c>
      <c r="AT19" s="3" t="str">
        <v>2028-29</v>
      </c>
      <c r="AU19" s="13" t="e">
        <f t="shared" si="10"/>
        <v>#N/A</v>
      </c>
      <c r="AV19" s="13" t="e">
        <f t="shared" si="11"/>
        <v>#N/A</v>
      </c>
      <c r="AW19" s="13" t="e">
        <f>INDEX(CONSOLIDATED!$H$6:$V$84,MATCH(AS19,CONSOLIDATED!$A$6:$A$84,0),MATCH(AT19,CONSOLIDATED!$H$2:$V$2,0))</f>
        <v>#N/A</v>
      </c>
      <c r="AX19" s="13" t="e">
        <f>INDEX(CONSOLIDATED!$H$88:$V$166,MATCH(AS19,CONSOLIDATED!$A$88:$A$166,0),MATCH(AT19,CONSOLIDATED!$H$2:$V$2,0))</f>
        <v>#N/A</v>
      </c>
    </row>
    <row r="20" spans="3:50" ht="16.5" x14ac:dyDescent="0.3">
      <c r="C20" s="3" t="str">
        <f t="shared" si="12"/>
        <v>Alpine (S)</v>
      </c>
      <c r="D20" s="3" t="str">
        <v>2029-30</v>
      </c>
      <c r="E20" s="13">
        <f t="shared" ca="1" si="13"/>
        <v>1.6435936949720751</v>
      </c>
      <c r="F20" s="13">
        <f t="shared" ca="1" si="14"/>
        <v>-0.4435936949720749</v>
      </c>
      <c r="G20" s="13">
        <f ca="1"/>
        <v>1.2000000000000002</v>
      </c>
      <c r="H20" s="13">
        <f ca="1"/>
        <v>1.6435936949720751</v>
      </c>
      <c r="I20" s="13"/>
      <c r="J20" s="3" t="str">
        <f t="shared" ca="1" si="15"/>
        <v>East Gippsland (S)</v>
      </c>
      <c r="K20" s="3" t="str">
        <v>2029-30</v>
      </c>
      <c r="L20" s="13">
        <f t="shared" ca="1" si="0"/>
        <v>8.4873454480405695</v>
      </c>
      <c r="M20" s="13">
        <f t="shared" ca="1" si="1"/>
        <v>-2.2873454480405693</v>
      </c>
      <c r="N20" s="13">
        <f ca="1">INDEX(CONSOLIDATED!$H$6:$V$84,MATCH(J20,CONSOLIDATED!$A$6:$A$84,0),MATCH(K20,CONSOLIDATED!$H$2:$V$2,0))</f>
        <v>6.2</v>
      </c>
      <c r="O20" s="13">
        <f ca="1">INDEX(CONSOLIDATED!$H$88:$V$166,MATCH(J20,CONSOLIDATED!$A$88:$A$166,0),MATCH(K20,CONSOLIDATED!$H$2:$V$2,0))</f>
        <v>8.4873454480405695</v>
      </c>
      <c r="Q20" s="3" t="str">
        <f t="shared" ca="1" si="16"/>
        <v>Indigo (S)</v>
      </c>
      <c r="R20" s="3" t="str">
        <v>2029-30</v>
      </c>
      <c r="S20" s="13">
        <f t="shared" ca="1" si="2"/>
        <v>2.1403200631378865</v>
      </c>
      <c r="T20" s="13">
        <f t="shared" ca="1" si="3"/>
        <v>-0.62032006313788646</v>
      </c>
      <c r="U20" s="13">
        <f ca="1">INDEX(CONSOLIDATED!$H$6:$V$84,MATCH(Q20,CONSOLIDATED!$A$6:$A$84,0),MATCH(R20,CONSOLIDATED!$H$2:$V$2,0))</f>
        <v>1.52</v>
      </c>
      <c r="V20" s="13">
        <f ca="1">INDEX(CONSOLIDATED!$H$88:$V$166,MATCH(Q20,CONSOLIDATED!$A$88:$A$166,0),MATCH(R20,CONSOLIDATED!$H$2:$V$2,0))</f>
        <v>2.1403200631378865</v>
      </c>
      <c r="X20" s="3" t="str">
        <f t="shared" ca="1" si="17"/>
        <v>Towong (S)</v>
      </c>
      <c r="Y20" s="3" t="str">
        <v>2029-30</v>
      </c>
      <c r="Z20" s="13">
        <f t="shared" ca="1" si="4"/>
        <v>5.7563025023539245</v>
      </c>
      <c r="AA20" s="13">
        <f t="shared" ca="1" si="5"/>
        <v>-4.9563025023539247</v>
      </c>
      <c r="AB20" s="13">
        <f ca="1">INDEX(CONSOLIDATED!$H$6:$V$84,MATCH(X20,CONSOLIDATED!$A$6:$A$84,0),MATCH(Y20,CONSOLIDATED!$H$2:$V$2,0))</f>
        <v>0.8</v>
      </c>
      <c r="AC20" s="13">
        <f ca="1">INDEX(CONSOLIDATED!$H$88:$V$166,MATCH(X20,CONSOLIDATED!$A$88:$A$166,0),MATCH(Y20,CONSOLIDATED!$H$2:$V$2,0))</f>
        <v>5.7563025023539245</v>
      </c>
      <c r="AE20" s="3" t="str">
        <f t="shared" ca="1" si="18"/>
        <v>Wangaratta (RC)</v>
      </c>
      <c r="AF20" s="3" t="str">
        <v>2029-30</v>
      </c>
      <c r="AG20" s="13">
        <f t="shared" ca="1" si="6"/>
        <v>2.8295638944134556</v>
      </c>
      <c r="AH20" s="13">
        <f t="shared" ca="1" si="7"/>
        <v>-7.9563894413455571E-2</v>
      </c>
      <c r="AI20" s="13">
        <f ca="1">INDEX(CONSOLIDATED!$H$6:$V$84,MATCH(AE20,CONSOLIDATED!$A$6:$A$84,0),MATCH(AF20,CONSOLIDATED!$H$2:$V$2,0))</f>
        <v>2.75</v>
      </c>
      <c r="AJ20" s="13">
        <f ca="1">INDEX(CONSOLIDATED!$H$88:$V$166,MATCH(AE20,CONSOLIDATED!$A$88:$A$166,0),MATCH(AF20,CONSOLIDATED!$H$2:$V$2,0))</f>
        <v>2.8295638944134556</v>
      </c>
      <c r="AL20" s="3" t="str">
        <f t="shared" si="19"/>
        <v/>
      </c>
      <c r="AM20" s="3" t="str">
        <v>2029-30</v>
      </c>
      <c r="AN20" s="13" t="e">
        <f t="shared" si="8"/>
        <v>#N/A</v>
      </c>
      <c r="AO20" s="13" t="e">
        <f t="shared" si="9"/>
        <v>#N/A</v>
      </c>
      <c r="AP20" s="13" t="e">
        <f>INDEX(CONSOLIDATED!$H$6:$V$84,MATCH(AL20,CONSOLIDATED!$A$6:$A$84,0),MATCH(AM20,CONSOLIDATED!$H$2:$V$2,0))</f>
        <v>#N/A</v>
      </c>
      <c r="AQ20" s="13" t="e">
        <f>INDEX(CONSOLIDATED!$H$88:$V$166,MATCH(AL20,CONSOLIDATED!$A$88:$A$166,0),MATCH(AM20,CONSOLIDATED!$H$2:$V$2,0))</f>
        <v>#N/A</v>
      </c>
      <c r="AS20" s="3" t="str">
        <f t="shared" si="20"/>
        <v/>
      </c>
      <c r="AT20" s="3" t="str">
        <v>2029-30</v>
      </c>
      <c r="AU20" s="13" t="e">
        <f t="shared" si="10"/>
        <v>#N/A</v>
      </c>
      <c r="AV20" s="13" t="e">
        <f t="shared" si="11"/>
        <v>#N/A</v>
      </c>
      <c r="AW20" s="13" t="e">
        <f>INDEX(CONSOLIDATED!$H$6:$V$84,MATCH(AS20,CONSOLIDATED!$A$6:$A$84,0),MATCH(AT20,CONSOLIDATED!$H$2:$V$2,0))</f>
        <v>#N/A</v>
      </c>
      <c r="AX20" s="13" t="e">
        <f>INDEX(CONSOLIDATED!$H$88:$V$166,MATCH(AS20,CONSOLIDATED!$A$88:$A$166,0),MATCH(AT20,CONSOLIDATED!$H$2:$V$2,0))</f>
        <v>#N/A</v>
      </c>
    </row>
    <row r="21" spans="3:50" ht="16.5" x14ac:dyDescent="0.3">
      <c r="C21" s="3" t="str">
        <f t="shared" si="12"/>
        <v>Alpine (S)</v>
      </c>
      <c r="D21" s="3" t="str">
        <v>2030-31</v>
      </c>
      <c r="E21" s="13">
        <f t="shared" ca="1" si="13"/>
        <v>1.6456877737592672</v>
      </c>
      <c r="F21" s="13">
        <f t="shared" ca="1" si="14"/>
        <v>-0.44568777375926705</v>
      </c>
      <c r="G21" s="13">
        <f ca="1"/>
        <v>1.2000000000000002</v>
      </c>
      <c r="H21" s="13">
        <f ca="1"/>
        <v>1.6456877737592672</v>
      </c>
      <c r="I21" s="13"/>
      <c r="J21" s="3" t="str">
        <f t="shared" ca="1" si="15"/>
        <v>East Gippsland (S)</v>
      </c>
      <c r="K21" s="3" t="str">
        <v>2030-31</v>
      </c>
      <c r="L21" s="13">
        <f t="shared" ca="1" si="0"/>
        <v>8.5720222385135116</v>
      </c>
      <c r="M21" s="13">
        <f t="shared" ca="1" si="1"/>
        <v>-2.3720222385135115</v>
      </c>
      <c r="N21" s="13">
        <f ca="1">INDEX(CONSOLIDATED!$H$6:$V$84,MATCH(J21,CONSOLIDATED!$A$6:$A$84,0),MATCH(K21,CONSOLIDATED!$H$2:$V$2,0))</f>
        <v>6.2</v>
      </c>
      <c r="O21" s="13">
        <f ca="1">INDEX(CONSOLIDATED!$H$88:$V$166,MATCH(J21,CONSOLIDATED!$A$88:$A$166,0),MATCH(K21,CONSOLIDATED!$H$2:$V$2,0))</f>
        <v>8.5720222385135116</v>
      </c>
      <c r="Q21" s="3" t="str">
        <f t="shared" ca="1" si="16"/>
        <v>Indigo (S)</v>
      </c>
      <c r="R21" s="3" t="str">
        <v>2030-31</v>
      </c>
      <c r="S21" s="13">
        <f t="shared" ca="1" si="2"/>
        <v>2.1497434858457316</v>
      </c>
      <c r="T21" s="13">
        <f t="shared" ca="1" si="3"/>
        <v>-0.62974348584573159</v>
      </c>
      <c r="U21" s="13">
        <f ca="1">INDEX(CONSOLIDATED!$H$6:$V$84,MATCH(Q21,CONSOLIDATED!$A$6:$A$84,0),MATCH(R21,CONSOLIDATED!$H$2:$V$2,0))</f>
        <v>1.52</v>
      </c>
      <c r="V21" s="13">
        <f ca="1">INDEX(CONSOLIDATED!$H$88:$V$166,MATCH(Q21,CONSOLIDATED!$A$88:$A$166,0),MATCH(R21,CONSOLIDATED!$H$2:$V$2,0))</f>
        <v>2.1497434858457316</v>
      </c>
      <c r="X21" s="3" t="str">
        <f t="shared" ca="1" si="17"/>
        <v>Towong (S)</v>
      </c>
      <c r="Y21" s="3" t="str">
        <v>2030-31</v>
      </c>
      <c r="Z21" s="13">
        <f t="shared" ca="1" si="4"/>
        <v>5.7407616012333014</v>
      </c>
      <c r="AA21" s="13">
        <f t="shared" ca="1" si="5"/>
        <v>-4.9407616012333015</v>
      </c>
      <c r="AB21" s="13">
        <f ca="1">INDEX(CONSOLIDATED!$H$6:$V$84,MATCH(X21,CONSOLIDATED!$A$6:$A$84,0),MATCH(Y21,CONSOLIDATED!$H$2:$V$2,0))</f>
        <v>0.8</v>
      </c>
      <c r="AC21" s="13">
        <f ca="1">INDEX(CONSOLIDATED!$H$88:$V$166,MATCH(X21,CONSOLIDATED!$A$88:$A$166,0),MATCH(Y21,CONSOLIDATED!$H$2:$V$2,0))</f>
        <v>5.7407616012333014</v>
      </c>
      <c r="AE21" s="3" t="str">
        <f t="shared" ca="1" si="18"/>
        <v>Wangaratta (RC)</v>
      </c>
      <c r="AF21" s="3" t="str">
        <v>2030-31</v>
      </c>
      <c r="AG21" s="13">
        <f t="shared" ca="1" si="6"/>
        <v>2.836586245074475</v>
      </c>
      <c r="AH21" s="13">
        <f t="shared" ca="1" si="7"/>
        <v>-8.6586245074474988E-2</v>
      </c>
      <c r="AI21" s="13">
        <f ca="1">INDEX(CONSOLIDATED!$H$6:$V$84,MATCH(AE21,CONSOLIDATED!$A$6:$A$84,0),MATCH(AF21,CONSOLIDATED!$H$2:$V$2,0))</f>
        <v>2.75</v>
      </c>
      <c r="AJ21" s="13">
        <f ca="1">INDEX(CONSOLIDATED!$H$88:$V$166,MATCH(AE21,CONSOLIDATED!$A$88:$A$166,0),MATCH(AF21,CONSOLIDATED!$H$2:$V$2,0))</f>
        <v>2.836586245074475</v>
      </c>
      <c r="AL21" s="3" t="str">
        <f t="shared" si="19"/>
        <v/>
      </c>
      <c r="AM21" s="3" t="str">
        <v>2030-31</v>
      </c>
      <c r="AN21" s="13" t="e">
        <f t="shared" si="8"/>
        <v>#N/A</v>
      </c>
      <c r="AO21" s="13" t="e">
        <f t="shared" si="9"/>
        <v>#N/A</v>
      </c>
      <c r="AP21" s="13" t="e">
        <f>INDEX(CONSOLIDATED!$H$6:$V$84,MATCH(AL21,CONSOLIDATED!$A$6:$A$84,0),MATCH(AM21,CONSOLIDATED!$H$2:$V$2,0))</f>
        <v>#N/A</v>
      </c>
      <c r="AQ21" s="13" t="e">
        <f>INDEX(CONSOLIDATED!$H$88:$V$166,MATCH(AL21,CONSOLIDATED!$A$88:$A$166,0),MATCH(AM21,CONSOLIDATED!$H$2:$V$2,0))</f>
        <v>#N/A</v>
      </c>
      <c r="AS21" s="3" t="str">
        <f t="shared" si="20"/>
        <v/>
      </c>
      <c r="AT21" s="3" t="str">
        <v>2030-31</v>
      </c>
      <c r="AU21" s="13" t="e">
        <f t="shared" si="10"/>
        <v>#N/A</v>
      </c>
      <c r="AV21" s="13" t="e">
        <f t="shared" si="11"/>
        <v>#N/A</v>
      </c>
      <c r="AW21" s="13" t="e">
        <f>INDEX(CONSOLIDATED!$H$6:$V$84,MATCH(AS21,CONSOLIDATED!$A$6:$A$84,0),MATCH(AT21,CONSOLIDATED!$H$2:$V$2,0))</f>
        <v>#N/A</v>
      </c>
      <c r="AX21" s="13" t="e">
        <f>INDEX(CONSOLIDATED!$H$88:$V$166,MATCH(AS21,CONSOLIDATED!$A$88:$A$166,0),MATCH(AT21,CONSOLIDATED!$H$2:$V$2,0))</f>
        <v>#N/A</v>
      </c>
    </row>
    <row r="22" spans="3:50" ht="16.5" x14ac:dyDescent="0.3">
      <c r="C22" s="3" t="str">
        <f t="shared" si="12"/>
        <v>Alpine (S)</v>
      </c>
      <c r="D22" s="3" t="str">
        <v>2031-32</v>
      </c>
      <c r="E22" s="13">
        <f t="shared" ca="1" si="13"/>
        <v>1.6479128214881784</v>
      </c>
      <c r="F22" s="13">
        <f t="shared" ca="1" si="14"/>
        <v>-0.44791282148817824</v>
      </c>
      <c r="G22" s="13">
        <f ca="1"/>
        <v>1.2000000000000002</v>
      </c>
      <c r="H22" s="13">
        <f ca="1"/>
        <v>1.6479128214881784</v>
      </c>
      <c r="J22" s="3" t="str">
        <f t="shared" ca="1" si="15"/>
        <v>East Gippsland (S)</v>
      </c>
      <c r="K22" s="3" t="str">
        <v>2031-32</v>
      </c>
      <c r="L22" s="13">
        <f t="shared" ca="1" si="0"/>
        <v>8.6568090683150718</v>
      </c>
      <c r="M22" s="13">
        <f t="shared" ca="1" si="1"/>
        <v>-2.4568090683150716</v>
      </c>
      <c r="N22" s="13">
        <f ca="1">INDEX(CONSOLIDATED!$H$6:$V$84,MATCH(J22,CONSOLIDATED!$A$6:$A$84,0),MATCH(K22,CONSOLIDATED!$H$2:$V$2,0))</f>
        <v>6.2</v>
      </c>
      <c r="O22" s="13">
        <f ca="1">INDEX(CONSOLIDATED!$H$88:$V$166,MATCH(J22,CONSOLIDATED!$A$88:$A$166,0),MATCH(K22,CONSOLIDATED!$H$2:$V$2,0))</f>
        <v>8.6568090683150718</v>
      </c>
      <c r="Q22" s="3" t="str">
        <f t="shared" ca="1" si="16"/>
        <v>Indigo (S)</v>
      </c>
      <c r="R22" s="3" t="str">
        <v>2031-32</v>
      </c>
      <c r="S22" s="13">
        <f t="shared" ca="1" si="2"/>
        <v>2.159430756828046</v>
      </c>
      <c r="T22" s="13">
        <f t="shared" ca="1" si="3"/>
        <v>-0.63943075682804595</v>
      </c>
      <c r="U22" s="13">
        <f ca="1">INDEX(CONSOLIDATED!$H$6:$V$84,MATCH(Q22,CONSOLIDATED!$A$6:$A$84,0),MATCH(R22,CONSOLIDATED!$H$2:$V$2,0))</f>
        <v>1.52</v>
      </c>
      <c r="V22" s="13">
        <f ca="1">INDEX(CONSOLIDATED!$H$88:$V$166,MATCH(Q22,CONSOLIDATED!$A$88:$A$166,0),MATCH(R22,CONSOLIDATED!$H$2:$V$2,0))</f>
        <v>2.159430756828046</v>
      </c>
      <c r="X22" s="3" t="str">
        <f t="shared" ca="1" si="17"/>
        <v>Towong (S)</v>
      </c>
      <c r="Y22" s="3" t="str">
        <v>2031-32</v>
      </c>
      <c r="Z22" s="13">
        <f t="shared" ca="1" si="4"/>
        <v>5.7258073972843606</v>
      </c>
      <c r="AA22" s="13">
        <f t="shared" ca="1" si="5"/>
        <v>-4.9258073972843608</v>
      </c>
      <c r="AB22" s="13">
        <f ca="1">INDEX(CONSOLIDATED!$H$6:$V$84,MATCH(X22,CONSOLIDATED!$A$6:$A$84,0),MATCH(Y22,CONSOLIDATED!$H$2:$V$2,0))</f>
        <v>0.8</v>
      </c>
      <c r="AC22" s="13">
        <f ca="1">INDEX(CONSOLIDATED!$H$88:$V$166,MATCH(X22,CONSOLIDATED!$A$88:$A$166,0),MATCH(Y22,CONSOLIDATED!$H$2:$V$2,0))</f>
        <v>5.7258073972843606</v>
      </c>
      <c r="AE22" s="3" t="str">
        <f t="shared" ca="1" si="18"/>
        <v>Wangaratta (RC)</v>
      </c>
      <c r="AF22" s="3" t="str">
        <v>2031-32</v>
      </c>
      <c r="AG22" s="13">
        <f t="shared" ca="1" si="6"/>
        <v>2.8441092215202013</v>
      </c>
      <c r="AH22" s="13">
        <f t="shared" ca="1" si="7"/>
        <v>-9.4109221520201292E-2</v>
      </c>
      <c r="AI22" s="13">
        <f ca="1">INDEX(CONSOLIDATED!$H$6:$V$84,MATCH(AE22,CONSOLIDATED!$A$6:$A$84,0),MATCH(AF22,CONSOLIDATED!$H$2:$V$2,0))</f>
        <v>2.75</v>
      </c>
      <c r="AJ22" s="13">
        <f ca="1">INDEX(CONSOLIDATED!$H$88:$V$166,MATCH(AE22,CONSOLIDATED!$A$88:$A$166,0),MATCH(AF22,CONSOLIDATED!$H$2:$V$2,0))</f>
        <v>2.8441092215202013</v>
      </c>
      <c r="AL22" s="3" t="str">
        <f t="shared" si="19"/>
        <v/>
      </c>
      <c r="AM22" s="3" t="str">
        <v>2031-32</v>
      </c>
      <c r="AN22" s="13" t="e">
        <f t="shared" si="8"/>
        <v>#N/A</v>
      </c>
      <c r="AO22" s="13" t="e">
        <f t="shared" si="9"/>
        <v>#N/A</v>
      </c>
      <c r="AP22" s="13" t="e">
        <f>INDEX(CONSOLIDATED!$H$6:$V$84,MATCH(AL22,CONSOLIDATED!$A$6:$A$84,0),MATCH(AM22,CONSOLIDATED!$H$2:$V$2,0))</f>
        <v>#N/A</v>
      </c>
      <c r="AQ22" s="13" t="e">
        <f>INDEX(CONSOLIDATED!$H$88:$V$166,MATCH(AL22,CONSOLIDATED!$A$88:$A$166,0),MATCH(AM22,CONSOLIDATED!$H$2:$V$2,0))</f>
        <v>#N/A</v>
      </c>
      <c r="AS22" s="3" t="str">
        <f t="shared" si="20"/>
        <v/>
      </c>
      <c r="AT22" s="3" t="str">
        <v>2031-32</v>
      </c>
      <c r="AU22" s="13" t="e">
        <f t="shared" si="10"/>
        <v>#N/A</v>
      </c>
      <c r="AV22" s="13" t="e">
        <f t="shared" si="11"/>
        <v>#N/A</v>
      </c>
      <c r="AW22" s="13" t="e">
        <f>INDEX(CONSOLIDATED!$H$6:$V$84,MATCH(AS22,CONSOLIDATED!$A$6:$A$84,0),MATCH(AT22,CONSOLIDATED!$H$2:$V$2,0))</f>
        <v>#N/A</v>
      </c>
      <c r="AX22" s="13" t="e">
        <f>INDEX(CONSOLIDATED!$H$88:$V$166,MATCH(AS22,CONSOLIDATED!$A$88:$A$166,0),MATCH(AT22,CONSOLIDATED!$H$2:$V$2,0))</f>
        <v>#N/A</v>
      </c>
    </row>
    <row r="25" spans="3:50" ht="16.5" x14ac:dyDescent="0.3">
      <c r="C25" s="4" t="s">
        <v>319</v>
      </c>
    </row>
    <row r="26" spans="3:50" ht="16.5" x14ac:dyDescent="0.3">
      <c r="I26" s="12" t="s">
        <v>319</v>
      </c>
    </row>
    <row r="27" spans="3:50" ht="16.5" x14ac:dyDescent="0.3">
      <c r="I27">
        <f>INDEX(Neighbours!$C:$C,MATCH(council,Neighbours!$B:$B,0))</f>
        <v>4</v>
      </c>
    </row>
    <row r="28" spans="3:50" x14ac:dyDescent="0.3">
      <c r="I28" s="12" t="s">
        <v>318</v>
      </c>
    </row>
    <row r="29" spans="3:50" x14ac:dyDescent="0.3">
      <c r="I29">
        <v>1</v>
      </c>
    </row>
    <row r="30" spans="3:50" x14ac:dyDescent="0.3">
      <c r="C30" s="12" t="s">
        <v>322</v>
      </c>
      <c r="D30" s="12" t="s">
        <v>317</v>
      </c>
      <c r="E30" s="12" t="s">
        <v>320</v>
      </c>
      <c r="I30" s="12" t="s">
        <v>321</v>
      </c>
      <c r="J30" s="12" t="s">
        <v>322</v>
      </c>
      <c r="K30" s="12" t="s">
        <v>323</v>
      </c>
    </row>
    <row r="31" spans="3:50" x14ac:dyDescent="0.3">
      <c r="C31" s="3" t="s">
        <v>111</v>
      </c>
      <c r="D31">
        <f t="array" aca="1" ref="D31:D109" ca="1">INDEX(OFFSET(Neighbours!$D$4:$D$82,0,MATCH(council,Neighbours!$D$3:$CD$3,0)-1),0,0)</f>
        <v>0</v>
      </c>
      <c r="E31">
        <f t="shared" ref="E31:E62" ca="1" si="21">IF(D31=TRUE,1,0)</f>
        <v>0</v>
      </c>
      <c r="I31">
        <v>1</v>
      </c>
      <c r="J31" t="str">
        <f t="array" aca="1" ref="J31" ca="1">IF($I31&lt;=$I$27,INDEX($C$31:$C$109,SMALL(IF($I$29=$E$31:$E$109,ROW($E$31:$E$109)-ROW($E$31)+1),$I31)),"Select any council")</f>
        <v>East Gippsland (S)</v>
      </c>
      <c r="K31" t="str">
        <f t="shared" ref="K31:K39" si="22">IF(I31=$I$27,"END","")</f>
        <v/>
      </c>
    </row>
    <row r="32" spans="3:50" x14ac:dyDescent="0.3">
      <c r="C32" s="3" t="s">
        <v>163</v>
      </c>
      <c r="D32" t="b">
        <f ca="1"/>
        <v>0</v>
      </c>
      <c r="E32">
        <f t="shared" ca="1" si="21"/>
        <v>0</v>
      </c>
      <c r="I32">
        <f>I31+1</f>
        <v>2</v>
      </c>
      <c r="J32" t="str">
        <f t="array" aca="1" ref="J32" ca="1">IF($I32&lt;=$I$27,INDEX($C$31:$C$109,SMALL(IF($I$29=$E$31:$E$109,ROW($E$31:$E$109)-ROW($E$31)+1),$I32)),"Select any council")</f>
        <v>Indigo (S)</v>
      </c>
      <c r="K32" t="str">
        <f t="shared" si="22"/>
        <v/>
      </c>
    </row>
    <row r="33" spans="3:11" x14ac:dyDescent="0.3">
      <c r="C33" s="3" t="s">
        <v>164</v>
      </c>
      <c r="D33" t="b">
        <f ca="1"/>
        <v>0</v>
      </c>
      <c r="E33">
        <f t="shared" ca="1" si="21"/>
        <v>0</v>
      </c>
      <c r="I33">
        <f t="shared" ref="I33:I39" si="23">I32+1</f>
        <v>3</v>
      </c>
      <c r="J33" t="str">
        <f t="array" aca="1" ref="J33" ca="1">IF($I33&lt;=$I$27,INDEX($C$31:$C$109,SMALL(IF($I$29=$E$31:$E$109,ROW($E$31:$E$109)-ROW($E$31)+1),$I33)),"Select any council")</f>
        <v>Towong (S)</v>
      </c>
      <c r="K33" t="str">
        <f t="shared" si="22"/>
        <v/>
      </c>
    </row>
    <row r="34" spans="3:11" x14ac:dyDescent="0.3">
      <c r="C34" s="3" t="s">
        <v>130</v>
      </c>
      <c r="D34" t="b">
        <f ca="1"/>
        <v>0</v>
      </c>
      <c r="E34">
        <f t="shared" ca="1" si="21"/>
        <v>0</v>
      </c>
      <c r="I34">
        <f t="shared" si="23"/>
        <v>4</v>
      </c>
      <c r="J34" t="str">
        <f t="array" aca="1" ref="J34" ca="1">IF($I34&lt;=$I$27,INDEX($C$31:$C$109,SMALL(IF($I$29=$E$31:$E$109,ROW($E$31:$E$109)-ROW($E$31)+1),$I34)),"Select any council")</f>
        <v>Wangaratta (RC)</v>
      </c>
      <c r="K34" t="str">
        <f t="shared" si="22"/>
        <v>END</v>
      </c>
    </row>
    <row r="35" spans="3:11" x14ac:dyDescent="0.3">
      <c r="C35" s="3" t="s">
        <v>147</v>
      </c>
      <c r="D35" t="b">
        <f ca="1"/>
        <v>0</v>
      </c>
      <c r="E35">
        <f t="shared" ca="1" si="21"/>
        <v>0</v>
      </c>
      <c r="I35">
        <f t="shared" si="23"/>
        <v>5</v>
      </c>
      <c r="J35" t="str">
        <f t="array" ref="J35">IF($I35&lt;=$I$27,INDEX($C$31:$C$109,SMALL(IF($I$29=$E$31:$E$109,ROW($E$31:$E$109)-ROW($E$31)+1),$I35)),"Select any council")</f>
        <v>Select any council</v>
      </c>
      <c r="K35" t="str">
        <f t="shared" si="22"/>
        <v/>
      </c>
    </row>
    <row r="36" spans="3:11" x14ac:dyDescent="0.3">
      <c r="C36" s="3" t="s">
        <v>148</v>
      </c>
      <c r="D36" t="b">
        <f ca="1"/>
        <v>0</v>
      </c>
      <c r="E36">
        <f t="shared" ca="1" si="21"/>
        <v>0</v>
      </c>
      <c r="I36">
        <f t="shared" si="23"/>
        <v>6</v>
      </c>
      <c r="J36" t="str">
        <f t="array" ref="J36">IF($I36&lt;=$I$27,INDEX($C$31:$C$109,SMALL(IF($I$29=$E$31:$E$109,ROW($E$31:$E$109)-ROW($E$31)+1),$I36)),"Select any council")</f>
        <v>Select any council</v>
      </c>
      <c r="K36" t="str">
        <f t="shared" si="22"/>
        <v/>
      </c>
    </row>
    <row r="37" spans="3:11" x14ac:dyDescent="0.3">
      <c r="C37" s="3" t="s">
        <v>149</v>
      </c>
      <c r="D37" t="b">
        <f ca="1"/>
        <v>0</v>
      </c>
      <c r="E37">
        <f t="shared" ca="1" si="21"/>
        <v>0</v>
      </c>
      <c r="I37">
        <f t="shared" si="23"/>
        <v>7</v>
      </c>
      <c r="J37" t="str">
        <f t="array" ref="J37">IF($I37&lt;=$I$27,INDEX($C$31:$C$109,SMALL(IF($I$29=$E$31:$E$109,ROW($E$31:$E$109)-ROW($E$31)+1),$I37)),"Select any council")</f>
        <v>Select any council</v>
      </c>
      <c r="K37" t="str">
        <f t="shared" si="22"/>
        <v/>
      </c>
    </row>
    <row r="38" spans="3:11" x14ac:dyDescent="0.3">
      <c r="C38" s="3" t="s">
        <v>112</v>
      </c>
      <c r="D38" t="b">
        <f ca="1"/>
        <v>0</v>
      </c>
      <c r="E38">
        <f t="shared" ca="1" si="21"/>
        <v>0</v>
      </c>
      <c r="I38">
        <f t="shared" si="23"/>
        <v>8</v>
      </c>
      <c r="J38" t="str">
        <f t="array" ref="J38">IF($I38&lt;=$I$27,INDEX($C$31:$C$109,SMALL(IF($I$29=$E$31:$E$109,ROW($E$31:$E$109)-ROW($E$31)+1),$I38)),"Select any council")</f>
        <v>Select any council</v>
      </c>
      <c r="K38" t="str">
        <f t="shared" si="22"/>
        <v/>
      </c>
    </row>
    <row r="39" spans="3:11" x14ac:dyDescent="0.3">
      <c r="C39" s="3" t="s">
        <v>113</v>
      </c>
      <c r="D39" t="b">
        <f ca="1"/>
        <v>0</v>
      </c>
      <c r="E39">
        <f t="shared" ca="1" si="21"/>
        <v>0</v>
      </c>
      <c r="I39">
        <f t="shared" si="23"/>
        <v>9</v>
      </c>
      <c r="J39" t="str">
        <f t="array" ref="J39">IF($I39&lt;=$I$27,INDEX($C$31:$C$109,SMALL(IF($I$29=$E$31:$E$109,ROW($E$31:$E$109)-ROW($E$31)+1),$I39)),"Select any council")</f>
        <v>Select any council</v>
      </c>
      <c r="K39" t="str">
        <f t="shared" si="22"/>
        <v/>
      </c>
    </row>
    <row r="40" spans="3:11" x14ac:dyDescent="0.3">
      <c r="C40" s="3" t="s">
        <v>165</v>
      </c>
      <c r="D40" t="b">
        <f ca="1"/>
        <v>0</v>
      </c>
      <c r="E40">
        <f t="shared" ca="1" si="21"/>
        <v>0</v>
      </c>
    </row>
    <row r="41" spans="3:11" x14ac:dyDescent="0.3">
      <c r="C41" s="3" t="s">
        <v>131</v>
      </c>
      <c r="D41" t="b">
        <f ca="1"/>
        <v>0</v>
      </c>
      <c r="E41">
        <f t="shared" ca="1" si="21"/>
        <v>0</v>
      </c>
    </row>
    <row r="42" spans="3:11" x14ac:dyDescent="0.3">
      <c r="C42" s="3" t="s">
        <v>132</v>
      </c>
      <c r="D42" t="b">
        <f ca="1"/>
        <v>0</v>
      </c>
      <c r="E42">
        <f t="shared" ca="1" si="21"/>
        <v>0</v>
      </c>
    </row>
    <row r="43" spans="3:11" x14ac:dyDescent="0.3">
      <c r="C43" s="3" t="s">
        <v>150</v>
      </c>
      <c r="D43" t="b">
        <f ca="1"/>
        <v>0</v>
      </c>
      <c r="E43">
        <f t="shared" ca="1" si="21"/>
        <v>0</v>
      </c>
    </row>
    <row r="44" spans="3:11" x14ac:dyDescent="0.3">
      <c r="C44" s="3" t="s">
        <v>151</v>
      </c>
      <c r="D44" t="b">
        <f ca="1"/>
        <v>0</v>
      </c>
      <c r="E44">
        <f t="shared" ca="1" si="21"/>
        <v>0</v>
      </c>
    </row>
    <row r="45" spans="3:11" x14ac:dyDescent="0.3">
      <c r="C45" s="3" t="s">
        <v>133</v>
      </c>
      <c r="D45" t="b">
        <f ca="1"/>
        <v>0</v>
      </c>
      <c r="E45">
        <f t="shared" ca="1" si="21"/>
        <v>0</v>
      </c>
    </row>
    <row r="46" spans="3:11" x14ac:dyDescent="0.3">
      <c r="C46" s="3" t="s">
        <v>166</v>
      </c>
      <c r="D46" t="b">
        <f ca="1"/>
        <v>0</v>
      </c>
      <c r="E46">
        <f t="shared" ca="1" si="21"/>
        <v>0</v>
      </c>
    </row>
    <row r="47" spans="3:11" x14ac:dyDescent="0.3">
      <c r="C47" s="3" t="s">
        <v>167</v>
      </c>
      <c r="D47" t="b">
        <f ca="1"/>
        <v>0</v>
      </c>
      <c r="E47">
        <f t="shared" ca="1" si="21"/>
        <v>0</v>
      </c>
    </row>
    <row r="48" spans="3:11" x14ac:dyDescent="0.3">
      <c r="C48" s="3" t="s">
        <v>134</v>
      </c>
      <c r="D48" t="b">
        <f ca="1"/>
        <v>0</v>
      </c>
      <c r="E48">
        <f t="shared" ca="1" si="21"/>
        <v>0</v>
      </c>
    </row>
    <row r="49" spans="3:5" x14ac:dyDescent="0.3">
      <c r="C49" s="3" t="s">
        <v>152</v>
      </c>
      <c r="D49" t="b">
        <f ca="1"/>
        <v>1</v>
      </c>
      <c r="E49">
        <f t="shared" ca="1" si="21"/>
        <v>1</v>
      </c>
    </row>
    <row r="50" spans="3:5" x14ac:dyDescent="0.3">
      <c r="C50" s="3" t="s">
        <v>153</v>
      </c>
      <c r="D50" t="b">
        <f ca="1"/>
        <v>0</v>
      </c>
      <c r="E50">
        <f t="shared" ca="1" si="21"/>
        <v>0</v>
      </c>
    </row>
    <row r="51" spans="3:5" x14ac:dyDescent="0.3">
      <c r="C51" s="3" t="s">
        <v>135</v>
      </c>
      <c r="D51" t="b">
        <f ca="1"/>
        <v>0</v>
      </c>
      <c r="E51">
        <f t="shared" ca="1" si="21"/>
        <v>0</v>
      </c>
    </row>
    <row r="52" spans="3:5" x14ac:dyDescent="0.3">
      <c r="C52" s="3" t="s">
        <v>154</v>
      </c>
      <c r="D52" t="b">
        <f ca="1"/>
        <v>0</v>
      </c>
      <c r="E52">
        <f t="shared" ca="1" si="21"/>
        <v>0</v>
      </c>
    </row>
    <row r="53" spans="3:5" x14ac:dyDescent="0.3">
      <c r="C53" s="3" t="s">
        <v>168</v>
      </c>
      <c r="D53" t="b">
        <f ca="1"/>
        <v>0</v>
      </c>
      <c r="E53">
        <f t="shared" ca="1" si="21"/>
        <v>0</v>
      </c>
    </row>
    <row r="54" spans="3:5" x14ac:dyDescent="0.3">
      <c r="C54" s="3" t="s">
        <v>169</v>
      </c>
      <c r="D54" t="b">
        <f ca="1"/>
        <v>0</v>
      </c>
      <c r="E54">
        <f t="shared" ca="1" si="21"/>
        <v>0</v>
      </c>
    </row>
    <row r="55" spans="3:5" x14ac:dyDescent="0.3">
      <c r="C55" s="3" t="s">
        <v>136</v>
      </c>
      <c r="D55" t="b">
        <f ca="1"/>
        <v>0</v>
      </c>
      <c r="E55">
        <f t="shared" ca="1" si="21"/>
        <v>0</v>
      </c>
    </row>
    <row r="56" spans="3:5" x14ac:dyDescent="0.3">
      <c r="C56" s="3" t="s">
        <v>155</v>
      </c>
      <c r="D56" t="b">
        <f ca="1"/>
        <v>0</v>
      </c>
      <c r="E56">
        <f t="shared" ca="1" si="21"/>
        <v>0</v>
      </c>
    </row>
    <row r="57" spans="3:5" x14ac:dyDescent="0.3">
      <c r="C57" s="3" t="s">
        <v>170</v>
      </c>
      <c r="D57" t="b">
        <f ca="1"/>
        <v>0</v>
      </c>
      <c r="E57">
        <f t="shared" ca="1" si="21"/>
        <v>0</v>
      </c>
    </row>
    <row r="58" spans="3:5" x14ac:dyDescent="0.3">
      <c r="C58" s="3" t="s">
        <v>114</v>
      </c>
      <c r="D58" t="b">
        <f ca="1"/>
        <v>0</v>
      </c>
      <c r="E58">
        <f t="shared" ca="1" si="21"/>
        <v>0</v>
      </c>
    </row>
    <row r="59" spans="3:5" x14ac:dyDescent="0.3">
      <c r="C59" s="3" t="s">
        <v>171</v>
      </c>
      <c r="D59" t="b">
        <f ca="1"/>
        <v>0</v>
      </c>
      <c r="E59">
        <f t="shared" ca="1" si="21"/>
        <v>0</v>
      </c>
    </row>
    <row r="60" spans="3:5" x14ac:dyDescent="0.3">
      <c r="C60" s="3" t="s">
        <v>172</v>
      </c>
      <c r="D60" t="b">
        <f ca="1"/>
        <v>0</v>
      </c>
      <c r="E60">
        <f t="shared" ca="1" si="21"/>
        <v>0</v>
      </c>
    </row>
    <row r="61" spans="3:5" x14ac:dyDescent="0.3">
      <c r="C61" s="3" t="s">
        <v>173</v>
      </c>
      <c r="D61" t="b">
        <f ca="1"/>
        <v>0</v>
      </c>
      <c r="E61">
        <f t="shared" ca="1" si="21"/>
        <v>0</v>
      </c>
    </row>
    <row r="62" spans="3:5" x14ac:dyDescent="0.3">
      <c r="C62" s="3" t="s">
        <v>174</v>
      </c>
      <c r="D62" t="b">
        <f ca="1"/>
        <v>0</v>
      </c>
      <c r="E62">
        <f t="shared" ca="1" si="21"/>
        <v>0</v>
      </c>
    </row>
    <row r="63" spans="3:5" x14ac:dyDescent="0.3">
      <c r="C63" s="3" t="s">
        <v>137</v>
      </c>
      <c r="D63" t="b">
        <f ca="1"/>
        <v>0</v>
      </c>
      <c r="E63">
        <f t="shared" ref="E63:E94" ca="1" si="24">IF(D63=TRUE,1,0)</f>
        <v>0</v>
      </c>
    </row>
    <row r="64" spans="3:5" x14ac:dyDescent="0.3">
      <c r="C64" s="3" t="s">
        <v>115</v>
      </c>
      <c r="D64" t="b">
        <f ca="1"/>
        <v>1</v>
      </c>
      <c r="E64">
        <f t="shared" ca="1" si="24"/>
        <v>1</v>
      </c>
    </row>
    <row r="65" spans="3:5" x14ac:dyDescent="0.3">
      <c r="C65" s="3" t="s">
        <v>156</v>
      </c>
      <c r="D65" t="b">
        <f ca="1"/>
        <v>0</v>
      </c>
      <c r="E65">
        <f t="shared" ca="1" si="24"/>
        <v>0</v>
      </c>
    </row>
    <row r="66" spans="3:5" x14ac:dyDescent="0.3">
      <c r="C66" s="3" t="s">
        <v>116</v>
      </c>
      <c r="D66" t="b">
        <f ca="1"/>
        <v>0</v>
      </c>
      <c r="E66">
        <f t="shared" ca="1" si="24"/>
        <v>0</v>
      </c>
    </row>
    <row r="67" spans="3:5" x14ac:dyDescent="0.3">
      <c r="C67" s="3" t="s">
        <v>157</v>
      </c>
      <c r="D67" t="b">
        <f ca="1"/>
        <v>0</v>
      </c>
      <c r="E67">
        <f t="shared" ca="1" si="24"/>
        <v>0</v>
      </c>
    </row>
    <row r="68" spans="3:5" x14ac:dyDescent="0.3">
      <c r="C68" s="3" t="s">
        <v>138</v>
      </c>
      <c r="D68" t="b">
        <f ca="1"/>
        <v>0</v>
      </c>
      <c r="E68">
        <f t="shared" ca="1" si="24"/>
        <v>0</v>
      </c>
    </row>
    <row r="69" spans="3:5" x14ac:dyDescent="0.3">
      <c r="C69" s="3" t="s">
        <v>139</v>
      </c>
      <c r="D69" t="b">
        <f ca="1"/>
        <v>0</v>
      </c>
      <c r="E69">
        <f t="shared" ca="1" si="24"/>
        <v>0</v>
      </c>
    </row>
    <row r="70" spans="3:5" x14ac:dyDescent="0.3">
      <c r="C70" s="3" t="s">
        <v>117</v>
      </c>
      <c r="D70" t="b">
        <f ca="1"/>
        <v>0</v>
      </c>
      <c r="E70">
        <f t="shared" ca="1" si="24"/>
        <v>0</v>
      </c>
    </row>
    <row r="71" spans="3:5" x14ac:dyDescent="0.3">
      <c r="C71" s="3" t="s">
        <v>118</v>
      </c>
      <c r="D71" t="b">
        <f ca="1"/>
        <v>0</v>
      </c>
      <c r="E71">
        <f t="shared" ca="1" si="24"/>
        <v>0</v>
      </c>
    </row>
    <row r="72" spans="3:5" x14ac:dyDescent="0.3">
      <c r="C72" s="3" t="s">
        <v>175</v>
      </c>
      <c r="D72" t="b">
        <f ca="1"/>
        <v>0</v>
      </c>
      <c r="E72">
        <f t="shared" ca="1" si="24"/>
        <v>0</v>
      </c>
    </row>
    <row r="73" spans="3:5" x14ac:dyDescent="0.3">
      <c r="C73" s="3" t="s">
        <v>119</v>
      </c>
      <c r="D73" t="b">
        <f ca="1"/>
        <v>0</v>
      </c>
      <c r="E73">
        <f t="shared" ca="1" si="24"/>
        <v>0</v>
      </c>
    </row>
    <row r="74" spans="3:5" x14ac:dyDescent="0.3">
      <c r="C74" s="3" t="s">
        <v>176</v>
      </c>
      <c r="D74" t="b">
        <f ca="1"/>
        <v>0</v>
      </c>
      <c r="E74">
        <f t="shared" ca="1" si="24"/>
        <v>0</v>
      </c>
    </row>
    <row r="75" spans="3:5" x14ac:dyDescent="0.3">
      <c r="C75" s="3" t="s">
        <v>177</v>
      </c>
      <c r="D75" t="b">
        <f ca="1"/>
        <v>0</v>
      </c>
      <c r="E75">
        <f t="shared" ca="1" si="24"/>
        <v>0</v>
      </c>
    </row>
    <row r="76" spans="3:5" x14ac:dyDescent="0.3">
      <c r="C76" s="3" t="s">
        <v>140</v>
      </c>
      <c r="D76" t="b">
        <f ca="1"/>
        <v>0</v>
      </c>
      <c r="E76">
        <f t="shared" ca="1" si="24"/>
        <v>0</v>
      </c>
    </row>
    <row r="77" spans="3:5" x14ac:dyDescent="0.3">
      <c r="C77" s="3" t="s">
        <v>120</v>
      </c>
      <c r="D77" t="b">
        <f ca="1"/>
        <v>0</v>
      </c>
      <c r="E77">
        <f t="shared" ca="1" si="24"/>
        <v>0</v>
      </c>
    </row>
    <row r="78" spans="3:5" x14ac:dyDescent="0.3">
      <c r="C78" s="3" t="s">
        <v>121</v>
      </c>
      <c r="D78" t="b">
        <f ca="1"/>
        <v>0</v>
      </c>
      <c r="E78">
        <f t="shared" ca="1" si="24"/>
        <v>0</v>
      </c>
    </row>
    <row r="79" spans="3:5" x14ac:dyDescent="0.3">
      <c r="C79" s="3" t="s">
        <v>122</v>
      </c>
      <c r="D79" t="b">
        <f ca="1"/>
        <v>0</v>
      </c>
      <c r="E79">
        <f t="shared" ca="1" si="24"/>
        <v>0</v>
      </c>
    </row>
    <row r="80" spans="3:5" x14ac:dyDescent="0.3">
      <c r="C80" s="3" t="s">
        <v>178</v>
      </c>
      <c r="D80" t="b">
        <f ca="1"/>
        <v>0</v>
      </c>
      <c r="E80">
        <f t="shared" ca="1" si="24"/>
        <v>0</v>
      </c>
    </row>
    <row r="81" spans="3:5" x14ac:dyDescent="0.3">
      <c r="C81" s="3" t="s">
        <v>179</v>
      </c>
      <c r="D81" t="b">
        <f ca="1"/>
        <v>0</v>
      </c>
      <c r="E81">
        <f t="shared" ca="1" si="24"/>
        <v>0</v>
      </c>
    </row>
    <row r="82" spans="3:5" x14ac:dyDescent="0.3">
      <c r="C82" s="3" t="s">
        <v>141</v>
      </c>
      <c r="D82" t="b">
        <f ca="1"/>
        <v>0</v>
      </c>
      <c r="E82">
        <f t="shared" ca="1" si="24"/>
        <v>0</v>
      </c>
    </row>
    <row r="83" spans="3:5" x14ac:dyDescent="0.3">
      <c r="C83" s="3" t="s">
        <v>158</v>
      </c>
      <c r="D83" t="b">
        <f ca="1"/>
        <v>0</v>
      </c>
      <c r="E83">
        <f t="shared" ca="1" si="24"/>
        <v>0</v>
      </c>
    </row>
    <row r="84" spans="3:5" x14ac:dyDescent="0.3">
      <c r="C84" s="3" t="s">
        <v>142</v>
      </c>
      <c r="D84" t="b">
        <f ca="1"/>
        <v>0</v>
      </c>
      <c r="E84">
        <f t="shared" ca="1" si="24"/>
        <v>0</v>
      </c>
    </row>
    <row r="85" spans="3:5" x14ac:dyDescent="0.3">
      <c r="C85" s="3" t="s">
        <v>180</v>
      </c>
      <c r="D85" t="b">
        <f ca="1"/>
        <v>0</v>
      </c>
      <c r="E85">
        <f t="shared" ca="1" si="24"/>
        <v>0</v>
      </c>
    </row>
    <row r="86" spans="3:5" x14ac:dyDescent="0.3">
      <c r="C86" s="3" t="s">
        <v>123</v>
      </c>
      <c r="D86" t="b">
        <f ca="1"/>
        <v>0</v>
      </c>
      <c r="E86">
        <f t="shared" ca="1" si="24"/>
        <v>0</v>
      </c>
    </row>
    <row r="87" spans="3:5" x14ac:dyDescent="0.3">
      <c r="C87" s="3" t="s">
        <v>143</v>
      </c>
      <c r="D87" t="b">
        <f ca="1"/>
        <v>0</v>
      </c>
      <c r="E87">
        <f t="shared" ca="1" si="24"/>
        <v>0</v>
      </c>
    </row>
    <row r="88" spans="3:5" x14ac:dyDescent="0.3">
      <c r="C88" s="3" t="s">
        <v>181</v>
      </c>
      <c r="D88" t="b">
        <f ca="1"/>
        <v>0</v>
      </c>
      <c r="E88">
        <f t="shared" ca="1" si="24"/>
        <v>0</v>
      </c>
    </row>
    <row r="89" spans="3:5" x14ac:dyDescent="0.3">
      <c r="C89" s="3" t="s">
        <v>159</v>
      </c>
      <c r="D89" t="b">
        <f ca="1"/>
        <v>0</v>
      </c>
      <c r="E89">
        <f t="shared" ca="1" si="24"/>
        <v>0</v>
      </c>
    </row>
    <row r="90" spans="3:5" x14ac:dyDescent="0.3">
      <c r="C90" s="3" t="s">
        <v>182</v>
      </c>
      <c r="D90" t="b">
        <f ca="1"/>
        <v>0</v>
      </c>
      <c r="E90">
        <f t="shared" ca="1" si="24"/>
        <v>0</v>
      </c>
    </row>
    <row r="91" spans="3:5" x14ac:dyDescent="0.3">
      <c r="C91" s="3" t="s">
        <v>183</v>
      </c>
      <c r="D91" t="b">
        <f ca="1"/>
        <v>0</v>
      </c>
      <c r="E91">
        <f t="shared" ca="1" si="24"/>
        <v>0</v>
      </c>
    </row>
    <row r="92" spans="3:5" x14ac:dyDescent="0.3">
      <c r="C92" s="3" t="s">
        <v>160</v>
      </c>
      <c r="D92" t="b">
        <f ca="1"/>
        <v>0</v>
      </c>
      <c r="E92">
        <f t="shared" ca="1" si="24"/>
        <v>0</v>
      </c>
    </row>
    <row r="93" spans="3:5" x14ac:dyDescent="0.3">
      <c r="C93" s="3" t="s">
        <v>184</v>
      </c>
      <c r="D93" t="b">
        <f ca="1"/>
        <v>0</v>
      </c>
      <c r="E93">
        <f t="shared" ca="1" si="24"/>
        <v>0</v>
      </c>
    </row>
    <row r="94" spans="3:5" x14ac:dyDescent="0.3">
      <c r="C94" s="3" t="s">
        <v>161</v>
      </c>
      <c r="D94" t="b">
        <f ca="1"/>
        <v>0</v>
      </c>
      <c r="E94">
        <f t="shared" ca="1" si="24"/>
        <v>0</v>
      </c>
    </row>
    <row r="95" spans="3:5" x14ac:dyDescent="0.3">
      <c r="C95" s="3" t="s">
        <v>124</v>
      </c>
      <c r="D95" t="b">
        <f ca="1"/>
        <v>0</v>
      </c>
      <c r="E95">
        <f t="shared" ref="E95:E109" ca="1" si="25">IF(D95=TRUE,1,0)</f>
        <v>0</v>
      </c>
    </row>
    <row r="96" spans="3:5" x14ac:dyDescent="0.3">
      <c r="C96" s="3" t="s">
        <v>185</v>
      </c>
      <c r="D96" t="b">
        <f ca="1"/>
        <v>0</v>
      </c>
      <c r="E96">
        <f t="shared" ca="1" si="25"/>
        <v>0</v>
      </c>
    </row>
    <row r="97" spans="3:5" x14ac:dyDescent="0.3">
      <c r="C97" s="3" t="s">
        <v>144</v>
      </c>
      <c r="D97" t="b">
        <f ca="1"/>
        <v>0</v>
      </c>
      <c r="E97">
        <f t="shared" ca="1" si="25"/>
        <v>0</v>
      </c>
    </row>
    <row r="98" spans="3:5" x14ac:dyDescent="0.3">
      <c r="C98" s="3" t="s">
        <v>125</v>
      </c>
      <c r="D98" t="b">
        <f ca="1"/>
        <v>1</v>
      </c>
      <c r="E98">
        <f t="shared" ca="1" si="25"/>
        <v>1</v>
      </c>
    </row>
    <row r="99" spans="3:5" x14ac:dyDescent="0.3">
      <c r="C99" s="3" t="s">
        <v>126</v>
      </c>
      <c r="D99" t="b">
        <f ca="1"/>
        <v>1</v>
      </c>
      <c r="E99">
        <f t="shared" ca="1" si="25"/>
        <v>1</v>
      </c>
    </row>
    <row r="100" spans="3:5" x14ac:dyDescent="0.3">
      <c r="C100" s="3" t="s">
        <v>186</v>
      </c>
      <c r="D100" t="b">
        <f ca="1"/>
        <v>0</v>
      </c>
      <c r="E100">
        <f t="shared" ca="1" si="25"/>
        <v>0</v>
      </c>
    </row>
    <row r="101" spans="3:5" x14ac:dyDescent="0.3">
      <c r="C101" s="3" t="s">
        <v>162</v>
      </c>
      <c r="D101" t="b">
        <f ca="1"/>
        <v>1</v>
      </c>
      <c r="E101">
        <f t="shared" ca="1" si="25"/>
        <v>1</v>
      </c>
    </row>
    <row r="102" spans="3:5" x14ac:dyDescent="0.3">
      <c r="C102" s="3" t="s">
        <v>187</v>
      </c>
      <c r="D102" t="b">
        <f ca="1"/>
        <v>0</v>
      </c>
      <c r="E102">
        <f t="shared" ca="1" si="25"/>
        <v>0</v>
      </c>
    </row>
    <row r="103" spans="3:5" x14ac:dyDescent="0.3">
      <c r="C103" s="3" t="s">
        <v>127</v>
      </c>
      <c r="D103" t="b">
        <f ca="1"/>
        <v>0</v>
      </c>
      <c r="E103">
        <f t="shared" ca="1" si="25"/>
        <v>0</v>
      </c>
    </row>
    <row r="104" spans="3:5" x14ac:dyDescent="0.3">
      <c r="C104" s="3" t="s">
        <v>145</v>
      </c>
      <c r="D104" t="b">
        <f ca="1"/>
        <v>0</v>
      </c>
      <c r="E104">
        <f t="shared" ca="1" si="25"/>
        <v>0</v>
      </c>
    </row>
    <row r="105" spans="3:5" x14ac:dyDescent="0.3">
      <c r="C105" s="3" t="s">
        <v>128</v>
      </c>
      <c r="D105" t="b">
        <f ca="1"/>
        <v>0</v>
      </c>
      <c r="E105">
        <f t="shared" ca="1" si="25"/>
        <v>0</v>
      </c>
    </row>
    <row r="106" spans="3:5" x14ac:dyDescent="0.3">
      <c r="C106" s="3" t="s">
        <v>188</v>
      </c>
      <c r="D106" t="b">
        <f ca="1"/>
        <v>0</v>
      </c>
      <c r="E106">
        <f t="shared" ca="1" si="25"/>
        <v>0</v>
      </c>
    </row>
    <row r="107" spans="3:5" x14ac:dyDescent="0.3">
      <c r="C107" s="3" t="s">
        <v>146</v>
      </c>
      <c r="D107" t="b">
        <f ca="1"/>
        <v>0</v>
      </c>
      <c r="E107">
        <f t="shared" ca="1" si="25"/>
        <v>0</v>
      </c>
    </row>
    <row r="108" spans="3:5" x14ac:dyDescent="0.3">
      <c r="C108" s="3" t="s">
        <v>129</v>
      </c>
      <c r="D108" t="b">
        <f ca="1"/>
        <v>0</v>
      </c>
      <c r="E108">
        <f t="shared" ca="1" si="25"/>
        <v>0</v>
      </c>
    </row>
    <row r="109" spans="3:5" x14ac:dyDescent="0.3">
      <c r="C109" s="3" t="s">
        <v>189</v>
      </c>
      <c r="D109" t="b">
        <f ca="1"/>
        <v>0</v>
      </c>
      <c r="E109">
        <f t="shared" ca="1" si="25"/>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vt:lpstr>
      <vt:lpstr>DHHS data</vt:lpstr>
      <vt:lpstr>CONSOLIDATED</vt:lpstr>
      <vt:lpstr>Other data</vt:lpstr>
      <vt:lpstr>COUNCIL REPORT</vt:lpstr>
      <vt:lpstr>CALCS</vt:lpstr>
      <vt:lpstr>Mapping</vt:lpstr>
      <vt:lpstr>Neighbours</vt:lpstr>
      <vt:lpstr>Chart Data</vt:lpstr>
      <vt:lpstr>baseline</vt:lpstr>
      <vt:lpstr>baseline2</vt:lpstr>
      <vt:lpstr>council</vt:lpstr>
      <vt:lpstr>council2</vt:lpstr>
      <vt:lpstr>'COUNCIL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Mei</dc:creator>
  <cp:lastModifiedBy>Michael Green</cp:lastModifiedBy>
  <cp:lastPrinted>2019-06-21T05:40:02Z</cp:lastPrinted>
  <dcterms:created xsi:type="dcterms:W3CDTF">2018-12-19T03:07:05Z</dcterms:created>
  <dcterms:modified xsi:type="dcterms:W3CDTF">2019-07-23T04:29:35Z</dcterms:modified>
</cp:coreProperties>
</file>